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840" yWindow="-120" windowWidth="7380" windowHeight="7410" tabRatio="388" firstSheet="2" activeTab="2"/>
  </bookViews>
  <sheets>
    <sheet name="Conversion" sheetId="25" state="hidden" r:id="rId1"/>
    <sheet name="Sheet2" sheetId="24" state="hidden" r:id="rId2"/>
    <sheet name="Weights" sheetId="22" r:id="rId3"/>
    <sheet name="Sheet 3" sheetId="21" state="hidden" r:id="rId4"/>
    <sheet name="Sheet1" sheetId="26" state="hidden" r:id="rId5"/>
    <sheet name="Instructions" sheetId="27" r:id="rId6"/>
  </sheets>
  <definedNames>
    <definedName name="EVAP_Long">'Sheet 3'!$V$11:$X$15</definedName>
    <definedName name="EVAP_Short">'Sheet 3'!$Q$11:$S$15</definedName>
    <definedName name="_xlnm.Print_Area" localSheetId="3">'Sheet 3'!$A$1:$L$63</definedName>
    <definedName name="_xlnm.Print_Area" localSheetId="2">Weights!$G$2:$R$42</definedName>
    <definedName name="Supply_Long">'Sheet 3'!$V$23:$X$27</definedName>
    <definedName name="Supply_Short">'Sheet 3'!$Q$23:$S$27</definedName>
  </definedNames>
  <calcPr calcId="125725"/>
</workbook>
</file>

<file path=xl/calcChain.xml><?xml version="1.0" encoding="utf-8"?>
<calcChain xmlns="http://schemas.openxmlformats.org/spreadsheetml/2006/main">
  <c r="I31" i="22"/>
  <c r="K61" i="21"/>
  <c r="Q38" i="22" s="1"/>
  <c r="BK53" i="21"/>
  <c r="BK54"/>
  <c r="BK55"/>
  <c r="BK56"/>
  <c r="BK57"/>
  <c r="BK58"/>
  <c r="BK59"/>
  <c r="BK60"/>
  <c r="BK61"/>
  <c r="BK62"/>
  <c r="BK63"/>
  <c r="BK64"/>
  <c r="BK65"/>
  <c r="BK66"/>
  <c r="BK67"/>
  <c r="BK68"/>
  <c r="BK69"/>
  <c r="BK70"/>
  <c r="BK71"/>
  <c r="BK72"/>
  <c r="BK73"/>
  <c r="BK74"/>
  <c r="BK75"/>
  <c r="BK76"/>
  <c r="BK77"/>
  <c r="BK78"/>
  <c r="BK79"/>
  <c r="BK80"/>
  <c r="BK52"/>
  <c r="BK51"/>
  <c r="BM34"/>
  <c r="AN76"/>
  <c r="BG10"/>
  <c r="BH10"/>
  <c r="BG11"/>
  <c r="BH11"/>
  <c r="BG12"/>
  <c r="BH12"/>
  <c r="BG13"/>
  <c r="BH13"/>
  <c r="BG14"/>
  <c r="BH14"/>
  <c r="BG15"/>
  <c r="BH15"/>
  <c r="BF11"/>
  <c r="BF12"/>
  <c r="BF13"/>
  <c r="BF14"/>
  <c r="BF15"/>
  <c r="BF10"/>
  <c r="H39" i="22"/>
  <c r="D6"/>
  <c r="D11"/>
  <c r="D13"/>
  <c r="D15"/>
  <c r="D17"/>
  <c r="D18"/>
  <c r="D19"/>
  <c r="D20"/>
  <c r="D23"/>
  <c r="D26"/>
  <c r="D28"/>
  <c r="B1" i="21"/>
  <c r="D4" i="24"/>
  <c r="E5" i="25"/>
  <c r="D3" s="1"/>
  <c r="D5"/>
  <c r="F5"/>
  <c r="W3"/>
  <c r="K5"/>
  <c r="C4" i="24"/>
  <c r="E4"/>
  <c r="F4"/>
  <c r="G5" i="25"/>
  <c r="E3" s="1"/>
  <c r="G4" i="24"/>
  <c r="H5" i="25"/>
  <c r="Q3" s="1"/>
  <c r="H4" i="24"/>
  <c r="I5" i="25"/>
  <c r="I4" i="24"/>
  <c r="J5" i="25"/>
  <c r="J4" i="24"/>
  <c r="K4"/>
  <c r="L5" i="25"/>
  <c r="L4" i="24"/>
  <c r="M5" i="25"/>
  <c r="J3" s="1"/>
  <c r="M4" i="24"/>
  <c r="N5" i="25"/>
  <c r="AB3" s="1"/>
  <c r="N4" i="24"/>
  <c r="O5" i="25"/>
  <c r="Z3"/>
  <c r="O4" i="24"/>
  <c r="P5" i="25"/>
  <c r="P4" i="24"/>
  <c r="Q5" i="25"/>
  <c r="B4" i="24"/>
  <c r="C5" i="25"/>
  <c r="A4" i="24"/>
  <c r="B5" i="25"/>
  <c r="A3" s="1"/>
  <c r="N3"/>
  <c r="L3"/>
  <c r="G3"/>
  <c r="AA8" i="22"/>
  <c r="V113" i="21"/>
  <c r="V114"/>
  <c r="V112"/>
  <c r="Q113"/>
  <c r="Q114"/>
  <c r="Q112"/>
  <c r="V90"/>
  <c r="V89"/>
  <c r="V88"/>
  <c r="Q90"/>
  <c r="Q89"/>
  <c r="Q88"/>
  <c r="V76"/>
  <c r="V78"/>
  <c r="V77"/>
  <c r="Q78"/>
  <c r="Q77"/>
  <c r="Q76"/>
  <c r="BN52"/>
  <c r="BN53"/>
  <c r="BN54"/>
  <c r="BN55"/>
  <c r="BN56"/>
  <c r="BN57"/>
  <c r="BN58"/>
  <c r="BN59"/>
  <c r="BN60"/>
  <c r="BN61"/>
  <c r="BN62"/>
  <c r="BN63"/>
  <c r="BN65"/>
  <c r="BN66"/>
  <c r="BN67"/>
  <c r="BN68"/>
  <c r="BN69"/>
  <c r="BN70"/>
  <c r="BN71"/>
  <c r="BN72"/>
  <c r="BN73"/>
  <c r="BN74"/>
  <c r="BN75"/>
  <c r="BN76"/>
  <c r="BN77"/>
  <c r="BN79"/>
  <c r="BN80"/>
  <c r="BN51"/>
  <c r="AG112"/>
  <c r="AG110"/>
  <c r="AG113"/>
  <c r="AG111"/>
  <c r="BM41"/>
  <c r="BM40"/>
  <c r="AA2" i="22"/>
  <c r="AA3"/>
  <c r="AA4"/>
  <c r="AA5"/>
  <c r="AA6"/>
  <c r="AA7"/>
  <c r="AA9"/>
  <c r="AA10"/>
  <c r="AA11"/>
  <c r="AA12"/>
  <c r="AA13"/>
  <c r="AA14"/>
  <c r="AA15"/>
  <c r="AA16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BM31" i="21"/>
  <c r="I34" i="22"/>
  <c r="J34"/>
  <c r="K34"/>
  <c r="N34"/>
  <c r="I35"/>
  <c r="J35"/>
  <c r="K35"/>
  <c r="L35"/>
  <c r="M35"/>
  <c r="N35"/>
  <c r="O35"/>
  <c r="P35"/>
  <c r="Q35"/>
  <c r="H35"/>
  <c r="BM39" i="21"/>
  <c r="E23"/>
  <c r="F23"/>
  <c r="BM38"/>
  <c r="BM37"/>
  <c r="BM32"/>
  <c r="BM33"/>
  <c r="BM30"/>
  <c r="B45"/>
  <c r="A45"/>
  <c r="T3" i="25"/>
  <c r="C3"/>
  <c r="S3"/>
  <c r="AT17" i="22" l="1"/>
  <c r="AT13" s="1"/>
  <c r="B3" i="25"/>
  <c r="T6" s="1"/>
  <c r="X6" s="1"/>
  <c r="R3"/>
  <c r="H1" i="22" l="1"/>
  <c r="M30" s="1"/>
  <c r="B2" i="21" l="1"/>
  <c r="D4" l="1"/>
  <c r="C34" s="1"/>
  <c r="B4"/>
  <c r="C4"/>
  <c r="B59" s="1"/>
  <c r="H36" i="22" s="1"/>
  <c r="F5" i="21"/>
  <c r="C35" s="1"/>
  <c r="J4"/>
  <c r="K4"/>
  <c r="C21" s="1"/>
  <c r="E4"/>
  <c r="I4"/>
  <c r="C9" s="1"/>
  <c r="G2"/>
  <c r="F4"/>
  <c r="G4"/>
  <c r="C26" s="1"/>
  <c r="C38" s="1"/>
  <c r="D5"/>
  <c r="H5"/>
  <c r="J5"/>
  <c r="B5"/>
  <c r="B20" s="1"/>
  <c r="C19" l="1"/>
  <c r="C13"/>
  <c r="C27"/>
  <c r="B27" s="1"/>
  <c r="F34"/>
  <c r="C14"/>
  <c r="F9"/>
  <c r="F35" s="1"/>
  <c r="B8"/>
  <c r="E8"/>
  <c r="E27" s="1"/>
  <c r="E39" s="1"/>
  <c r="C33"/>
  <c r="F11"/>
  <c r="C20"/>
  <c r="C22"/>
  <c r="B26"/>
  <c r="D11"/>
  <c r="D34"/>
  <c r="E33"/>
  <c r="E13"/>
  <c r="E37" s="1"/>
  <c r="D8"/>
  <c r="D27" s="1"/>
  <c r="D39" s="1"/>
  <c r="F10"/>
  <c r="F14" s="1"/>
  <c r="F28" s="1"/>
  <c r="B33"/>
  <c r="B34"/>
  <c r="D22"/>
  <c r="F8"/>
  <c r="F29" s="1"/>
  <c r="E10"/>
  <c r="E19" s="1"/>
  <c r="D13"/>
  <c r="D37" s="1"/>
  <c r="E34"/>
  <c r="E32"/>
  <c r="D20"/>
  <c r="E9"/>
  <c r="E35" s="1"/>
  <c r="F13"/>
  <c r="F37" s="1"/>
  <c r="D10"/>
  <c r="D23" s="1"/>
  <c r="B35"/>
  <c r="E31"/>
  <c r="C31"/>
  <c r="D21"/>
  <c r="D32" s="1"/>
  <c r="E11"/>
  <c r="E20"/>
  <c r="B22"/>
  <c r="D33"/>
  <c r="D9"/>
  <c r="D35" s="1"/>
  <c r="F20"/>
  <c r="F33"/>
  <c r="F22"/>
  <c r="E22"/>
  <c r="C12"/>
  <c r="B9"/>
  <c r="C36"/>
  <c r="F21"/>
  <c r="E21"/>
  <c r="C28"/>
  <c r="B21"/>
  <c r="B57"/>
  <c r="H34" i="22" s="1"/>
  <c r="C37" i="21"/>
  <c r="F43"/>
  <c r="C8"/>
  <c r="C29" s="1"/>
  <c r="B29" s="1"/>
  <c r="E12"/>
  <c r="E36" s="1"/>
  <c r="D43"/>
  <c r="F12"/>
  <c r="F36" s="1"/>
  <c r="C32"/>
  <c r="G10"/>
  <c r="D12"/>
  <c r="B13"/>
  <c r="D36" l="1"/>
  <c r="D26"/>
  <c r="D38" s="1"/>
  <c r="D29"/>
  <c r="C39"/>
  <c r="E26"/>
  <c r="E38" s="1"/>
  <c r="E29"/>
  <c r="F19"/>
  <c r="D15"/>
  <c r="D14"/>
  <c r="D28" s="1"/>
  <c r="F61"/>
  <c r="M38" i="22" s="1"/>
  <c r="F27" i="21"/>
  <c r="F39" s="1"/>
  <c r="D17"/>
  <c r="F26"/>
  <c r="F38" s="1"/>
  <c r="D19"/>
  <c r="E14"/>
  <c r="E28" s="1"/>
  <c r="B56"/>
  <c r="H33" i="22" s="1"/>
  <c r="B10" i="21"/>
  <c r="B11" s="1"/>
  <c r="C10"/>
  <c r="C11" l="1"/>
  <c r="C15"/>
  <c r="C16" s="1"/>
  <c r="D16" s="1"/>
  <c r="C23"/>
  <c r="C24" s="1"/>
  <c r="C17"/>
  <c r="C18" s="1"/>
  <c r="D18" s="1"/>
  <c r="C41" l="1"/>
  <c r="D24"/>
  <c r="D41" s="1"/>
  <c r="F24"/>
  <c r="F41" s="1"/>
  <c r="G59" s="1"/>
  <c r="E24"/>
  <c r="E42" s="1"/>
  <c r="D42" l="1"/>
  <c r="E59"/>
  <c r="C42"/>
  <c r="D59" s="1"/>
  <c r="J36" i="22" s="1"/>
  <c r="C59" i="21"/>
  <c r="E41"/>
  <c r="F59" s="1"/>
  <c r="F42"/>
  <c r="M36" i="22"/>
  <c r="G60" i="21"/>
  <c r="M37" i="22" s="1"/>
  <c r="E50" i="21" l="1"/>
  <c r="J59" s="1"/>
  <c r="P36" i="22" s="1"/>
  <c r="E49" i="21"/>
  <c r="D60"/>
  <c r="J37" i="22" s="1"/>
  <c r="E51" i="21"/>
  <c r="K59" s="1"/>
  <c r="K60" s="1"/>
  <c r="Q37" i="22" s="1"/>
  <c r="E48" i="21"/>
  <c r="F60"/>
  <c r="L37" i="22" s="1"/>
  <c r="L36"/>
  <c r="E60" i="21"/>
  <c r="K37" i="22" s="1"/>
  <c r="K36"/>
  <c r="B51" i="21"/>
  <c r="B50"/>
  <c r="B49"/>
  <c r="C60"/>
  <c r="I37" i="22" s="1"/>
  <c r="I36"/>
  <c r="B48" i="21"/>
  <c r="Q36" i="22" l="1"/>
  <c r="F51" i="21"/>
  <c r="H59"/>
  <c r="F48"/>
  <c r="J60"/>
  <c r="P37" i="22" s="1"/>
  <c r="I59" i="21"/>
  <c r="F49"/>
  <c r="F50"/>
  <c r="G51"/>
  <c r="C51"/>
  <c r="G50"/>
  <c r="C50"/>
  <c r="C48"/>
  <c r="G48"/>
  <c r="G49"/>
  <c r="C49"/>
  <c r="H60" l="1"/>
  <c r="N37" i="22" s="1"/>
  <c r="L59" i="21"/>
  <c r="N36" i="22"/>
  <c r="O36"/>
  <c r="I60" i="21"/>
  <c r="O37" i="22" s="1"/>
</calcChain>
</file>

<file path=xl/sharedStrings.xml><?xml version="1.0" encoding="utf-8"?>
<sst xmlns="http://schemas.openxmlformats.org/spreadsheetml/2006/main" count="3064" uniqueCount="816">
  <si>
    <t>lbs</t>
  </si>
  <si>
    <t>PRO</t>
  </si>
  <si>
    <t>Comp1</t>
  </si>
  <si>
    <t>Comp2</t>
  </si>
  <si>
    <t>ECW</t>
  </si>
  <si>
    <t>Sup Damper</t>
  </si>
  <si>
    <t>Ret Damp</t>
  </si>
  <si>
    <t>Furnace</t>
  </si>
  <si>
    <t>XL Furnace</t>
  </si>
  <si>
    <t>A1</t>
  </si>
  <si>
    <t>A2</t>
  </si>
  <si>
    <t>B2</t>
  </si>
  <si>
    <t>B3</t>
  </si>
  <si>
    <t>B4</t>
  </si>
  <si>
    <t>C4</t>
  </si>
  <si>
    <t>C6</t>
  </si>
  <si>
    <t>D6</t>
  </si>
  <si>
    <t>D8</t>
  </si>
  <si>
    <t>COMP</t>
  </si>
  <si>
    <t>x</t>
  </si>
  <si>
    <t>y</t>
  </si>
  <si>
    <t>z</t>
  </si>
  <si>
    <t>Heat Pump</t>
  </si>
  <si>
    <t>Elec Heater</t>
  </si>
  <si>
    <t>Evaporator</t>
  </si>
  <si>
    <t>6-row</t>
  </si>
  <si>
    <t>B1</t>
  </si>
  <si>
    <t>C3</t>
  </si>
  <si>
    <t>PR</t>
  </si>
  <si>
    <t>Component</t>
  </si>
  <si>
    <t>Description</t>
  </si>
  <si>
    <t>Wi</t>
  </si>
  <si>
    <t>Oil Sep 1</t>
  </si>
  <si>
    <t>Oil Sep 2</t>
  </si>
  <si>
    <t>Condenser</t>
  </si>
  <si>
    <t>Receiver 1</t>
  </si>
  <si>
    <t>Receiver 2</t>
  </si>
  <si>
    <t>ECW Wheel</t>
  </si>
  <si>
    <t>Supply Blower</t>
  </si>
  <si>
    <t>Sheet Metal</t>
  </si>
  <si>
    <t>Condenser Water</t>
  </si>
  <si>
    <t>X</t>
  </si>
  <si>
    <t>Y</t>
  </si>
  <si>
    <t>Z</t>
  </si>
  <si>
    <t>Shipping Unit</t>
  </si>
  <si>
    <t>Operating Unit</t>
  </si>
  <si>
    <t xml:space="preserve">Length = </t>
  </si>
  <si>
    <t xml:space="preserve">Width = </t>
  </si>
  <si>
    <t>Shipping Corner Weight</t>
  </si>
  <si>
    <t>Operating Corner Weight</t>
  </si>
  <si>
    <t>(kg)</t>
  </si>
  <si>
    <t>LF</t>
  </si>
  <si>
    <t>LB</t>
  </si>
  <si>
    <t>RF</t>
  </si>
  <si>
    <t>RB</t>
  </si>
  <si>
    <t>O</t>
  </si>
  <si>
    <t>C</t>
  </si>
  <si>
    <t>R</t>
  </si>
  <si>
    <t>A</t>
  </si>
  <si>
    <t>T</t>
  </si>
  <si>
    <t>H</t>
  </si>
  <si>
    <t>F</t>
  </si>
  <si>
    <t>Shipping Weight</t>
  </si>
  <si>
    <t>Operating Weight</t>
  </si>
  <si>
    <t xml:space="preserve">Center of Gravity </t>
  </si>
  <si>
    <t>lbs (kg)</t>
  </si>
  <si>
    <t>G</t>
  </si>
  <si>
    <t>HP</t>
  </si>
  <si>
    <t>W</t>
  </si>
  <si>
    <t>L</t>
  </si>
  <si>
    <t>Wt</t>
  </si>
  <si>
    <t>Refrigerant</t>
  </si>
  <si>
    <t>Unit Type</t>
  </si>
  <si>
    <t>Unit Size</t>
  </si>
  <si>
    <t>Cabinet</t>
  </si>
  <si>
    <t>Comp 1</t>
  </si>
  <si>
    <t>Comp 2</t>
  </si>
  <si>
    <t>Accum1</t>
  </si>
  <si>
    <t>Accum2</t>
  </si>
  <si>
    <t>Elec. Box</t>
  </si>
  <si>
    <t>Y/N</t>
  </si>
  <si>
    <t>n</t>
  </si>
  <si>
    <t>Move XYZ--&gt;</t>
  </si>
  <si>
    <t>Move W--&gt;</t>
  </si>
  <si>
    <t>Move L--&gt;</t>
  </si>
  <si>
    <t>B</t>
  </si>
  <si>
    <t>D</t>
  </si>
  <si>
    <t>Long</t>
  </si>
  <si>
    <t>Short</t>
  </si>
  <si>
    <t>PRR</t>
  </si>
  <si>
    <t>LBS</t>
  </si>
  <si>
    <t>D4</t>
  </si>
  <si>
    <t>HWC</t>
  </si>
  <si>
    <t>Exhaust Blower</t>
  </si>
  <si>
    <t>C2</t>
  </si>
  <si>
    <t>lb of water</t>
  </si>
  <si>
    <t>Total coils' lbs</t>
  </si>
  <si>
    <t>PRO/RW</t>
  </si>
  <si>
    <t>A/S Condenser Section</t>
  </si>
  <si>
    <t>W/S Condenser</t>
  </si>
  <si>
    <t>CWC</t>
  </si>
  <si>
    <t xml:space="preserve"> +/- weight</t>
  </si>
  <si>
    <t>Evap</t>
  </si>
  <si>
    <t>E</t>
  </si>
  <si>
    <t>Supply</t>
  </si>
  <si>
    <t>SUPPLY</t>
  </si>
  <si>
    <t>14-15</t>
  </si>
  <si>
    <t>AA</t>
  </si>
  <si>
    <t>AB</t>
  </si>
  <si>
    <t>AC</t>
  </si>
  <si>
    <t>AD</t>
  </si>
  <si>
    <t>AE</t>
  </si>
  <si>
    <t>AF</t>
  </si>
  <si>
    <t>AG</t>
  </si>
  <si>
    <t>AH</t>
  </si>
  <si>
    <t>AJ</t>
  </si>
  <si>
    <t>AK</t>
  </si>
  <si>
    <t>BA</t>
  </si>
  <si>
    <t>BB</t>
  </si>
  <si>
    <t>BC</t>
  </si>
  <si>
    <t>BD</t>
  </si>
  <si>
    <t>BE</t>
  </si>
  <si>
    <t>BF</t>
  </si>
  <si>
    <t>BG</t>
  </si>
  <si>
    <t>BH</t>
  </si>
  <si>
    <t>BJ</t>
  </si>
  <si>
    <t>BK</t>
  </si>
  <si>
    <t>CA</t>
  </si>
  <si>
    <t>CB</t>
  </si>
  <si>
    <t>CC</t>
  </si>
  <si>
    <t>CD</t>
  </si>
  <si>
    <t>CE</t>
  </si>
  <si>
    <t>CF</t>
  </si>
  <si>
    <t>CG</t>
  </si>
  <si>
    <t>CH</t>
  </si>
  <si>
    <t>CK</t>
  </si>
  <si>
    <t>CL</t>
  </si>
  <si>
    <t>CM</t>
  </si>
  <si>
    <t>CN</t>
  </si>
  <si>
    <t>CP</t>
  </si>
  <si>
    <t>CQ</t>
  </si>
  <si>
    <t>DA</t>
  </si>
  <si>
    <t>DB</t>
  </si>
  <si>
    <t>DC</t>
  </si>
  <si>
    <t>DD</t>
  </si>
  <si>
    <t>DE</t>
  </si>
  <si>
    <t>DF</t>
  </si>
  <si>
    <t>DG</t>
  </si>
  <si>
    <t>DH</t>
  </si>
  <si>
    <t>DJ</t>
  </si>
  <si>
    <t>XX</t>
  </si>
  <si>
    <t>S. MOTOR</t>
  </si>
  <si>
    <t>17</t>
  </si>
  <si>
    <t>J</t>
  </si>
  <si>
    <t>K</t>
  </si>
  <si>
    <t>M</t>
  </si>
  <si>
    <t>ECM</t>
  </si>
  <si>
    <t>EXHAUST BWLR</t>
  </si>
  <si>
    <t>32-33</t>
  </si>
  <si>
    <t>TYPE</t>
  </si>
  <si>
    <t>Wt.</t>
  </si>
  <si>
    <t>FAN</t>
  </si>
  <si>
    <t>MTR</t>
  </si>
  <si>
    <t>Exhaust</t>
  </si>
  <si>
    <t>Comp</t>
  </si>
  <si>
    <t>ZP34</t>
  </si>
  <si>
    <t>ZP42</t>
  </si>
  <si>
    <t>ZP51</t>
  </si>
  <si>
    <t>ZP54</t>
  </si>
  <si>
    <t>ZP72</t>
  </si>
  <si>
    <t>ZP83</t>
  </si>
  <si>
    <t>ZP61</t>
  </si>
  <si>
    <t>ZP91</t>
  </si>
  <si>
    <t>ZP103</t>
  </si>
  <si>
    <t>ZP120</t>
  </si>
  <si>
    <t>ZP137</t>
  </si>
  <si>
    <t>ZP182</t>
  </si>
  <si>
    <t>ZPt206</t>
  </si>
  <si>
    <t>ZPT240</t>
  </si>
  <si>
    <t>ZPT274</t>
  </si>
  <si>
    <t>ZPT364</t>
  </si>
  <si>
    <t>ZP154</t>
  </si>
  <si>
    <t>ZP29</t>
  </si>
  <si>
    <t>ZP67</t>
  </si>
  <si>
    <t>ZP90</t>
  </si>
  <si>
    <t>ZPT206</t>
  </si>
  <si>
    <t>ZP39</t>
  </si>
  <si>
    <t>PRO/PRR</t>
  </si>
  <si>
    <t>RH/SC</t>
  </si>
  <si>
    <t>Reheat/SC</t>
  </si>
  <si>
    <t>HWC Water</t>
  </si>
  <si>
    <t>WC</t>
  </si>
  <si>
    <t>Fans</t>
  </si>
  <si>
    <t>ELEC</t>
  </si>
  <si>
    <t>FUR</t>
  </si>
  <si>
    <t>N</t>
  </si>
  <si>
    <t>P</t>
  </si>
  <si>
    <t>Q</t>
  </si>
  <si>
    <t>S</t>
  </si>
  <si>
    <t>U</t>
  </si>
  <si>
    <t>V</t>
  </si>
  <si>
    <t>C1</t>
  </si>
  <si>
    <t>D1</t>
  </si>
  <si>
    <t>E1</t>
  </si>
  <si>
    <t>F1</t>
  </si>
  <si>
    <t>G1</t>
  </si>
  <si>
    <t>H1</t>
  </si>
  <si>
    <t>D2</t>
  </si>
  <si>
    <t>E2</t>
  </si>
  <si>
    <t>kW</t>
  </si>
  <si>
    <t>Damper</t>
  </si>
  <si>
    <t>SheetMetal Short</t>
  </si>
  <si>
    <t>SheetMetal Long</t>
  </si>
  <si>
    <t>NA</t>
  </si>
  <si>
    <t>Cond. Dims</t>
  </si>
  <si>
    <t>Cabinet Outside Dims</t>
  </si>
  <si>
    <t>SheetMetal Short Weight</t>
  </si>
  <si>
    <t>SheetMetal Long Weight</t>
  </si>
  <si>
    <t>E4</t>
  </si>
  <si>
    <t>E6</t>
  </si>
  <si>
    <t>E8</t>
  </si>
  <si>
    <t>A0</t>
  </si>
  <si>
    <t>B0</t>
  </si>
  <si>
    <t>C0</t>
  </si>
  <si>
    <t>D0</t>
  </si>
  <si>
    <t>E0</t>
  </si>
  <si>
    <t>2x100</t>
  </si>
  <si>
    <t>2x200</t>
  </si>
  <si>
    <t>2x250</t>
  </si>
  <si>
    <t>2x300</t>
  </si>
  <si>
    <t>2x400</t>
  </si>
  <si>
    <t>HWC H2O</t>
  </si>
  <si>
    <t>Copper Parts</t>
  </si>
  <si>
    <t>PRRF300C4**A*BG*F*D*AMF000**0*G00*0************0</t>
  </si>
  <si>
    <t>APPLICATION</t>
  </si>
  <si>
    <t>CAPACITY</t>
  </si>
  <si>
    <t>CABINET</t>
  </si>
  <si>
    <t>CNTLS</t>
  </si>
  <si>
    <t>VOLTAGE</t>
  </si>
  <si>
    <t>VINTAGE</t>
  </si>
  <si>
    <t>AF ORIENT</t>
  </si>
  <si>
    <t>S. OPTS</t>
  </si>
  <si>
    <t>S MTR. TYPE</t>
  </si>
  <si>
    <t>4/6 ROW</t>
  </si>
  <si>
    <t>RFG. CNTLS</t>
  </si>
  <si>
    <t>HEAT TYPE</t>
  </si>
  <si>
    <t>ELEC. HEAT</t>
  </si>
  <si>
    <t>GAS FURN</t>
  </si>
  <si>
    <t>HTR CNTL</t>
  </si>
  <si>
    <t>GAS SAFETY</t>
  </si>
  <si>
    <t>ECW OPTS</t>
  </si>
  <si>
    <t>VENTILN</t>
  </si>
  <si>
    <t>E. BWLR OPTS</t>
  </si>
  <si>
    <t>E. MOTOR</t>
  </si>
  <si>
    <t>E. MTR TYPE</t>
  </si>
  <si>
    <t>CORROSN</t>
  </si>
  <si>
    <t>MAINTN OPTS</t>
  </si>
  <si>
    <t>POWER OPTS</t>
  </si>
  <si>
    <t>CNTL OPTS</t>
  </si>
  <si>
    <t>SAFETY OPTS</t>
  </si>
  <si>
    <t>FLTR</t>
  </si>
  <si>
    <t>FINAL FLTR</t>
  </si>
  <si>
    <t>1-2</t>
  </si>
  <si>
    <t>5-6-7</t>
  </si>
  <si>
    <t>8-9</t>
  </si>
  <si>
    <t>10</t>
  </si>
  <si>
    <t>11</t>
  </si>
  <si>
    <t>12</t>
  </si>
  <si>
    <t>13</t>
  </si>
  <si>
    <t>16</t>
  </si>
  <si>
    <t>18</t>
  </si>
  <si>
    <t>19</t>
  </si>
  <si>
    <t>20</t>
  </si>
  <si>
    <t>*</t>
  </si>
  <si>
    <t>CB= 315mm Single ECM (CIW.098.5FA)</t>
  </si>
  <si>
    <t>CC= 315mm Single ECM (CIW.080.5FA)</t>
  </si>
  <si>
    <t>CD= 355mm Single ECM (CIW.110.5HF)</t>
  </si>
  <si>
    <t>CE= 355mm Single ECM (CIW.110.6FF)</t>
  </si>
  <si>
    <t>CF= 355mm Single ECM (CIB.112.5HF)</t>
  </si>
  <si>
    <t>CG= 400mm Single ECM (CIW.123.5HF)</t>
  </si>
  <si>
    <t>CH= 400mm Single ECM (CIW.123.6FF)</t>
  </si>
  <si>
    <t>CJ= 400mm Single ECM (CIB.125.6FF)</t>
  </si>
  <si>
    <t>CK= 450mm Single ECM (CIW.138.5HF)</t>
  </si>
  <si>
    <t>CL= 450mm Single ECM (CIW.138.6FF)</t>
  </si>
  <si>
    <t>CM= 450mm Single ECM (CIB.140.6IF)</t>
  </si>
  <si>
    <t>CN= 500mm Single ECM (CIW.155.6IF)</t>
  </si>
  <si>
    <t>CP= 500mm Single ECM (CIB.160.6IF)</t>
  </si>
  <si>
    <t>CQ= 560mm Single ECM (CIW.174.6IF)</t>
  </si>
  <si>
    <t>DA= 280mm Dual ECM (CIW.087.5FA)</t>
  </si>
  <si>
    <t>DB= 315mm Dual ECM (CIW.098.5FA)</t>
  </si>
  <si>
    <t>DC= 315mm Dual ECM (CIW.080.5FA)</t>
  </si>
  <si>
    <t>DD= 355mm Dual ECM (CIW.110.5HF)</t>
  </si>
  <si>
    <t>DE= 355mm Dual ECM (CIW.110.6FF)</t>
  </si>
  <si>
    <t>DF= 355mm Dual ECM (CIB.112.5HF)</t>
  </si>
  <si>
    <t>DG= 400mm Dual ECM (CIW.123.5HF)</t>
  </si>
  <si>
    <t>DH= 400mm Dual ECM (CIW.123.6FF)</t>
  </si>
  <si>
    <t>DJ= 400mm Dual ECM (CIB.125.6FF)</t>
  </si>
  <si>
    <t>M = ECM</t>
  </si>
  <si>
    <t>A = 1HP</t>
  </si>
  <si>
    <t>B = 1.5HP</t>
  </si>
  <si>
    <t>C = 2HP</t>
  </si>
  <si>
    <t>D = 3HP</t>
  </si>
  <si>
    <t>E = 5HP</t>
  </si>
  <si>
    <t>F = 7.5HP</t>
  </si>
  <si>
    <t>G = 10HP</t>
  </si>
  <si>
    <t>H = 15HP</t>
  </si>
  <si>
    <t>J = 20HP</t>
  </si>
  <si>
    <t>K = 25HP</t>
  </si>
  <si>
    <t>L = 30HP</t>
  </si>
  <si>
    <t>A = 4-Row Evap.</t>
  </si>
  <si>
    <t>B = 6-Row Evap</t>
  </si>
  <si>
    <t>C = 4-Row CWC</t>
  </si>
  <si>
    <t>D = 6-Row CWC</t>
  </si>
  <si>
    <t>A = Electric</t>
  </si>
  <si>
    <t>B = N. Gas x1</t>
  </si>
  <si>
    <t>C = N. Gas x 2</t>
  </si>
  <si>
    <t>D = P. Gas x1</t>
  </si>
  <si>
    <t>E = P. Gas x2</t>
  </si>
  <si>
    <t>F = HWC</t>
  </si>
  <si>
    <t>A = 5kW</t>
  </si>
  <si>
    <t>B = 10kW</t>
  </si>
  <si>
    <t>C = 15kW</t>
  </si>
  <si>
    <t>D = 20kW</t>
  </si>
  <si>
    <t>E = 25kW</t>
  </si>
  <si>
    <t>F = 30kW</t>
  </si>
  <si>
    <t>G = 35kW</t>
  </si>
  <si>
    <t>H = 40kW</t>
  </si>
  <si>
    <t>J = 45kW</t>
  </si>
  <si>
    <t>K = 50kW</t>
  </si>
  <si>
    <t>L = 55kW</t>
  </si>
  <si>
    <t>M = 60kW</t>
  </si>
  <si>
    <t>N = 70kW</t>
  </si>
  <si>
    <t>P = 80kW</t>
  </si>
  <si>
    <t>Q = 90kW</t>
  </si>
  <si>
    <t>R = 100kW</t>
  </si>
  <si>
    <t>S = 110kW</t>
  </si>
  <si>
    <t>T = 120kW</t>
  </si>
  <si>
    <t>U = 130kW</t>
  </si>
  <si>
    <t>V = 140kW</t>
  </si>
  <si>
    <t>W = 150kW</t>
  </si>
  <si>
    <t>A1 = 75MBH</t>
  </si>
  <si>
    <t>B1 = 100MBH</t>
  </si>
  <si>
    <t>C1 = 150MBH</t>
  </si>
  <si>
    <t>D1 = 200MBH</t>
  </si>
  <si>
    <t>E1 = 250MBH</t>
  </si>
  <si>
    <t>F1 = 300MBH</t>
  </si>
  <si>
    <t>G1 = 350MBH</t>
  </si>
  <si>
    <t>H1 = 400MBH</t>
  </si>
  <si>
    <t>A = ECW244</t>
  </si>
  <si>
    <t>B = ECW324</t>
  </si>
  <si>
    <t>C = ECW364</t>
  </si>
  <si>
    <t>D = ECW424</t>
  </si>
  <si>
    <t>E = ECW484</t>
  </si>
  <si>
    <t>F = ECW486</t>
  </si>
  <si>
    <t>G = ECW544</t>
  </si>
  <si>
    <t>H = ECW604</t>
  </si>
  <si>
    <t>J = ECW606</t>
  </si>
  <si>
    <t>B = OA Damper ONLY</t>
  </si>
  <si>
    <t>A = OA Damper ONLY</t>
  </si>
  <si>
    <t>C = OA Damper ONLY</t>
  </si>
  <si>
    <t>D = OA &amp; RA Dampers</t>
  </si>
  <si>
    <t>E = OA &amp; RA Dampers</t>
  </si>
  <si>
    <t>F = OA &amp; RA Dampers</t>
  </si>
  <si>
    <t>G = OA &amp; RA Dampers</t>
  </si>
  <si>
    <t>H = OA &amp; RA Dampers</t>
  </si>
  <si>
    <t>AM = RHx2</t>
  </si>
  <si>
    <t>CD = SCx1</t>
  </si>
  <si>
    <t>CH = RHx2</t>
  </si>
  <si>
    <t>CC = RHx2</t>
  </si>
  <si>
    <t>CJ = SCx1</t>
  </si>
  <si>
    <t>DA = SCx1</t>
  </si>
  <si>
    <t>DB = SCx1</t>
  </si>
  <si>
    <t>DD = SCx1</t>
  </si>
  <si>
    <t>DE = SCx1</t>
  </si>
  <si>
    <t>DF = SCx1</t>
  </si>
  <si>
    <t>DG = SCx1</t>
  </si>
  <si>
    <t>DJ = SCx1</t>
  </si>
  <si>
    <t>DK = SCx1</t>
  </si>
  <si>
    <t>BH = SCx1</t>
  </si>
  <si>
    <t>Unit</t>
  </si>
  <si>
    <t>SUP. ORIENTATION</t>
  </si>
  <si>
    <t>CODE</t>
  </si>
  <si>
    <t>UNIT</t>
  </si>
  <si>
    <t>**</t>
  </si>
  <si>
    <t>Customer</t>
  </si>
  <si>
    <t>Select Code from DROPDOWN below</t>
  </si>
  <si>
    <t xml:space="preserve">CWC Water/Rfg. </t>
  </si>
  <si>
    <t>WC/Evap</t>
  </si>
  <si>
    <t>Future</t>
  </si>
  <si>
    <t>4-Row Evap.</t>
  </si>
  <si>
    <t>6-Row Evap.</t>
  </si>
  <si>
    <t>#</t>
  </si>
  <si>
    <t>Notes:</t>
  </si>
  <si>
    <t>2. Refer to PR Code String for additional details.</t>
  </si>
  <si>
    <t>1. Follow cabinet CFM limits for each component.</t>
  </si>
  <si>
    <t>0</t>
  </si>
  <si>
    <t>AL</t>
  </si>
  <si>
    <t>AM</t>
  </si>
  <si>
    <t>AN</t>
  </si>
  <si>
    <t>CJ</t>
  </si>
  <si>
    <t>DK</t>
  </si>
  <si>
    <t>284x100x108</t>
  </si>
  <si>
    <t>-</t>
  </si>
  <si>
    <t>Type</t>
  </si>
  <si>
    <t>Standard</t>
  </si>
  <si>
    <t>n/a</t>
  </si>
  <si>
    <t>280 mm</t>
  </si>
  <si>
    <t>BI</t>
  </si>
  <si>
    <t>315 mm</t>
  </si>
  <si>
    <t xml:space="preserve">355 mm small </t>
  </si>
  <si>
    <t xml:space="preserve">355 mm medium </t>
  </si>
  <si>
    <t xml:space="preserve">355 mm  large </t>
  </si>
  <si>
    <t xml:space="preserve">400 mm small </t>
  </si>
  <si>
    <t>I</t>
  </si>
  <si>
    <t xml:space="preserve">400 mm medium </t>
  </si>
  <si>
    <t>High (XL)</t>
  </si>
  <si>
    <t xml:space="preserve">400 mm large </t>
  </si>
  <si>
    <t xml:space="preserve">450 mm small </t>
  </si>
  <si>
    <t xml:space="preserve">450 mm  medium </t>
  </si>
  <si>
    <t xml:space="preserve">450 mm large </t>
  </si>
  <si>
    <t xml:space="preserve">500 mm small </t>
  </si>
  <si>
    <t>03</t>
  </si>
  <si>
    <t xml:space="preserve">500 mm large </t>
  </si>
  <si>
    <t>04</t>
  </si>
  <si>
    <t>560 mm</t>
  </si>
  <si>
    <t>05</t>
  </si>
  <si>
    <t>10 in</t>
  </si>
  <si>
    <t>06</t>
  </si>
  <si>
    <t>11 in</t>
  </si>
  <si>
    <t>07</t>
  </si>
  <si>
    <t>12 in</t>
  </si>
  <si>
    <t>08</t>
  </si>
  <si>
    <t>14 in</t>
  </si>
  <si>
    <t>16 in</t>
  </si>
  <si>
    <t>18 in</t>
  </si>
  <si>
    <t>20 in</t>
  </si>
  <si>
    <t>22 in</t>
  </si>
  <si>
    <t>25 in</t>
  </si>
  <si>
    <t>Steam Coil</t>
  </si>
  <si>
    <t>Hot Water Coil</t>
  </si>
  <si>
    <t>Voltage</t>
  </si>
  <si>
    <t>ODP</t>
  </si>
  <si>
    <t>min</t>
  </si>
  <si>
    <t>low</t>
  </si>
  <si>
    <t>medium</t>
  </si>
  <si>
    <t>high</t>
  </si>
  <si>
    <t>TEFC</t>
  </si>
  <si>
    <t xml:space="preserve">A0 </t>
  </si>
  <si>
    <t xml:space="preserve"> A Cab with 0 cond fan</t>
  </si>
  <si>
    <t xml:space="preserve">B0 </t>
  </si>
  <si>
    <t xml:space="preserve"> B Cab with 0 cond fan</t>
  </si>
  <si>
    <t xml:space="preserve">C0 </t>
  </si>
  <si>
    <t xml:space="preserve"> C Cab with 0 cond fan</t>
  </si>
  <si>
    <t xml:space="preserve">D0 </t>
  </si>
  <si>
    <t xml:space="preserve"> D Cab with 0 cond fan</t>
  </si>
  <si>
    <t xml:space="preserve">A1 </t>
  </si>
  <si>
    <t xml:space="preserve"> A Cab with 1 cond fan</t>
  </si>
  <si>
    <t xml:space="preserve">A2 </t>
  </si>
  <si>
    <t xml:space="preserve"> A Cab with 2 cond fan</t>
  </si>
  <si>
    <t xml:space="preserve">B1 </t>
  </si>
  <si>
    <t xml:space="preserve"> B Cab with 1 cond fan</t>
  </si>
  <si>
    <t xml:space="preserve">B2 </t>
  </si>
  <si>
    <t xml:space="preserve"> B Cab with 2 cond fan</t>
  </si>
  <si>
    <t xml:space="preserve">B3 </t>
  </si>
  <si>
    <t xml:space="preserve"> B Cab with 3 cond fan</t>
  </si>
  <si>
    <t xml:space="preserve">B4 </t>
  </si>
  <si>
    <t xml:space="preserve"> B Cab with 4 cond fan</t>
  </si>
  <si>
    <t xml:space="preserve">C2 </t>
  </si>
  <si>
    <t xml:space="preserve"> C Cab with 2 cond fan</t>
  </si>
  <si>
    <t xml:space="preserve">C3 </t>
  </si>
  <si>
    <t xml:space="preserve"> C Cab with 3 cond fan</t>
  </si>
  <si>
    <t xml:space="preserve">C4 </t>
  </si>
  <si>
    <t xml:space="preserve"> C Cab with 4 cond fan</t>
  </si>
  <si>
    <t xml:space="preserve">C6 </t>
  </si>
  <si>
    <t xml:space="preserve"> C Cab with 6 cond fan</t>
  </si>
  <si>
    <t xml:space="preserve">D4 </t>
  </si>
  <si>
    <t xml:space="preserve"> D Cab with 4 cond fan</t>
  </si>
  <si>
    <t xml:space="preserve">D6 </t>
  </si>
  <si>
    <t xml:space="preserve"> D Cab with 6 cond fan</t>
  </si>
  <si>
    <t xml:space="preserve">D8 </t>
  </si>
  <si>
    <t xml:space="preserve"> D Cab with 6 oversized cond fan</t>
  </si>
  <si>
    <t xml:space="preserve">E6 </t>
  </si>
  <si>
    <t>E Cab with 6 cond fan</t>
  </si>
  <si>
    <t xml:space="preserve">E8 </t>
  </si>
  <si>
    <t xml:space="preserve"> E Cab with 6 oversized cond fan</t>
  </si>
  <si>
    <t xml:space="preserve">F1 </t>
  </si>
  <si>
    <t xml:space="preserve"> BXL Cab with 1 cond fan</t>
  </si>
  <si>
    <t xml:space="preserve">F2 </t>
  </si>
  <si>
    <t xml:space="preserve"> BXL Cab with 2 cond fan</t>
  </si>
  <si>
    <t xml:space="preserve">F3 </t>
  </si>
  <si>
    <t xml:space="preserve"> BXL Cab with 3 cond fan</t>
  </si>
  <si>
    <t xml:space="preserve">F4 </t>
  </si>
  <si>
    <t xml:space="preserve"> BXL Cab with 4 cond fan</t>
  </si>
  <si>
    <t xml:space="preserve">G2 </t>
  </si>
  <si>
    <t xml:space="preserve"> CXL Cab with 2 cond fan</t>
  </si>
  <si>
    <t xml:space="preserve">G3 </t>
  </si>
  <si>
    <t xml:space="preserve"> CXL Cab with 3 cond fan</t>
  </si>
  <si>
    <t xml:space="preserve">G4 </t>
  </si>
  <si>
    <t xml:space="preserve"> CXL Cab with 4 cond fan</t>
  </si>
  <si>
    <t xml:space="preserve">G6 </t>
  </si>
  <si>
    <t xml:space="preserve"> CXL Cab with 6 cond fan</t>
  </si>
  <si>
    <t xml:space="preserve">H4 </t>
  </si>
  <si>
    <t xml:space="preserve"> DXL Cab with 4 cond fan</t>
  </si>
  <si>
    <t xml:space="preserve">H6 </t>
  </si>
  <si>
    <t xml:space="preserve"> DXL Cab with 6 cond fan</t>
  </si>
  <si>
    <t xml:space="preserve">H8 </t>
  </si>
  <si>
    <t xml:space="preserve"> DXL Cab with 6 oversized cond fan</t>
  </si>
  <si>
    <t xml:space="preserve">J6 </t>
  </si>
  <si>
    <t xml:space="preserve"> EXL Cab with 6 cond fan</t>
  </si>
  <si>
    <t xml:space="preserve">J8 </t>
  </si>
  <si>
    <t xml:space="preserve"> EXL Cab with 6 oversized cond fan</t>
  </si>
  <si>
    <t>c2</t>
  </si>
  <si>
    <t>a0</t>
  </si>
  <si>
    <t>b0</t>
  </si>
  <si>
    <t>c0</t>
  </si>
  <si>
    <t>d0</t>
  </si>
  <si>
    <t>e0</t>
  </si>
  <si>
    <t>a1</t>
  </si>
  <si>
    <t>a2</t>
  </si>
  <si>
    <t>b1</t>
  </si>
  <si>
    <t>b2</t>
  </si>
  <si>
    <t>b3</t>
  </si>
  <si>
    <t>b4</t>
  </si>
  <si>
    <t>c3</t>
  </si>
  <si>
    <t>c4</t>
  </si>
  <si>
    <t>c6</t>
  </si>
  <si>
    <t>d4</t>
  </si>
  <si>
    <t>d6</t>
  </si>
  <si>
    <t>e6</t>
  </si>
  <si>
    <t>e8</t>
  </si>
  <si>
    <t>f1</t>
  </si>
  <si>
    <t>f2</t>
  </si>
  <si>
    <t>f3</t>
  </si>
  <si>
    <t>f4</t>
  </si>
  <si>
    <t>g2</t>
  </si>
  <si>
    <t>g3</t>
  </si>
  <si>
    <t>g4</t>
  </si>
  <si>
    <t>g6</t>
  </si>
  <si>
    <t>h4</t>
  </si>
  <si>
    <t>h6</t>
  </si>
  <si>
    <t>h8</t>
  </si>
  <si>
    <t>j6</t>
  </si>
  <si>
    <t>j8</t>
  </si>
  <si>
    <t>d8</t>
  </si>
  <si>
    <t>F2</t>
  </si>
  <si>
    <t>F3</t>
  </si>
  <si>
    <t>F4</t>
  </si>
  <si>
    <t>G2</t>
  </si>
  <si>
    <t>G3</t>
  </si>
  <si>
    <t>G4</t>
  </si>
  <si>
    <t>G6</t>
  </si>
  <si>
    <t>H4</t>
  </si>
  <si>
    <t>H6</t>
  </si>
  <si>
    <t>H8</t>
  </si>
  <si>
    <t>J6</t>
  </si>
  <si>
    <t>J8</t>
  </si>
  <si>
    <t>EA</t>
  </si>
  <si>
    <t>EB</t>
  </si>
  <si>
    <t>EC</t>
  </si>
  <si>
    <t>ED</t>
  </si>
  <si>
    <t>EE</t>
  </si>
  <si>
    <t>EF</t>
  </si>
  <si>
    <t>EG</t>
  </si>
  <si>
    <t>EH</t>
  </si>
  <si>
    <t>2x14"</t>
  </si>
  <si>
    <t>2x16"</t>
  </si>
  <si>
    <t>2x18"</t>
  </si>
  <si>
    <t>2x20"</t>
  </si>
  <si>
    <t>J1</t>
  </si>
  <si>
    <t>K1</t>
  </si>
  <si>
    <t>2x350</t>
  </si>
  <si>
    <t>A4</t>
  </si>
  <si>
    <t>4x200</t>
  </si>
  <si>
    <t>4x250</t>
  </si>
  <si>
    <t>4x300</t>
  </si>
  <si>
    <t>4x350</t>
  </si>
  <si>
    <t>4x400</t>
  </si>
  <si>
    <t>0= None</t>
  </si>
  <si>
    <t>A= ECW 244 w/2" filters</t>
  </si>
  <si>
    <t>B= ECW 324 w/2" filters</t>
  </si>
  <si>
    <t>C= ECW 364 w/2" filters</t>
  </si>
  <si>
    <t>D= ECW 424 w/2" filters</t>
  </si>
  <si>
    <t>E= ECW 484 w/2" filters</t>
  </si>
  <si>
    <t>F= ECW 486 w/2" filters</t>
  </si>
  <si>
    <t>G= ECW 544 w/2" filters</t>
  </si>
  <si>
    <t>H= ECW 604 w/2" filters</t>
  </si>
  <si>
    <t>J= ECW 606 w/2" filters</t>
  </si>
  <si>
    <t>K= ECW 664 w/2" filters</t>
  </si>
  <si>
    <t>L= ECW 666 w/2" filters</t>
  </si>
  <si>
    <t>M= ECW 706 w/2" filters</t>
  </si>
  <si>
    <t>N= ECW 724 w/2" filters</t>
  </si>
  <si>
    <t>P= ECW 702 w/2" filters</t>
  </si>
  <si>
    <t>Q= ECW 784 w/2" filters</t>
  </si>
  <si>
    <t>R= ECW 786 w/2" filters</t>
  </si>
  <si>
    <t>S= ECW 7812 w/2" filters</t>
  </si>
  <si>
    <t>T= ECW 844 w/2" filters</t>
  </si>
  <si>
    <t>U= ECW 846 w/2" filters</t>
  </si>
  <si>
    <t>V= ECW 8412 w/2" filters</t>
  </si>
  <si>
    <t>X= Applied Special</t>
  </si>
  <si>
    <t>H2</t>
  </si>
  <si>
    <t>2x500</t>
  </si>
  <si>
    <t>2x600</t>
  </si>
  <si>
    <t>22-23</t>
  </si>
  <si>
    <t>26-27</t>
  </si>
  <si>
    <t>33-34</t>
  </si>
  <si>
    <t>38-39</t>
  </si>
  <si>
    <t>40-41</t>
  </si>
  <si>
    <t>42-43</t>
  </si>
  <si>
    <t>44-45</t>
  </si>
  <si>
    <t>46-47</t>
  </si>
  <si>
    <t>Ref. P.Sw</t>
  </si>
  <si>
    <t>Ref. Pr. Sw</t>
  </si>
  <si>
    <t>2</t>
  </si>
  <si>
    <t>3</t>
  </si>
  <si>
    <t>4</t>
  </si>
  <si>
    <t>5</t>
  </si>
  <si>
    <t>6</t>
  </si>
  <si>
    <t>7</t>
  </si>
  <si>
    <t>Furnace Short</t>
  </si>
  <si>
    <t>Furnace Long</t>
  </si>
  <si>
    <t>XL Dims from DAVE</t>
  </si>
  <si>
    <t>AA= 10” DD, Airfoil</t>
  </si>
  <si>
    <t>AB= 11” DD, Airfoil</t>
  </si>
  <si>
    <t>AC= 12” DD, Airfoil</t>
  </si>
  <si>
    <t>AD= 14” DD, Airfoil</t>
  </si>
  <si>
    <t>AE= 16” DD, Airfoil</t>
  </si>
  <si>
    <t>AF= 18” DD, Airfoil</t>
  </si>
  <si>
    <t>AG= 20” DD, Airfoil</t>
  </si>
  <si>
    <t>AH= 22” DD, Airfoil</t>
  </si>
  <si>
    <t>AJ= 25” DD, Airfoil</t>
  </si>
  <si>
    <t>AK= 28” DD, Airfoil</t>
  </si>
  <si>
    <t>BA= 10” DD, BI</t>
  </si>
  <si>
    <t>BB= 11” DD, BI</t>
  </si>
  <si>
    <t>BC= 12” DD, BI</t>
  </si>
  <si>
    <t>BD= 14” DD, BI</t>
  </si>
  <si>
    <t>BE= 16” DD, BI</t>
  </si>
  <si>
    <t>BF= 18” DD, BI</t>
  </si>
  <si>
    <t>BG= 20” DD, BI</t>
  </si>
  <si>
    <t>BH= 22” DD, BI</t>
  </si>
  <si>
    <t>BJ= 25” DD, BI</t>
  </si>
  <si>
    <t>BK= 28” DD, BI</t>
  </si>
  <si>
    <t>CA= 280mm Single ECM (CIW.087.5FA)</t>
  </si>
  <si>
    <t>EA= Dual 14" DD, BI</t>
  </si>
  <si>
    <t>EB= Dual 14" DD, AF</t>
  </si>
  <si>
    <t>EC= Dual 16" DD, BI</t>
  </si>
  <si>
    <t>ED= Dual 16" DD, AF</t>
  </si>
  <si>
    <t>EE= Dual 18" DD, BI</t>
  </si>
  <si>
    <t>EF= Dual 18" DD, AF</t>
  </si>
  <si>
    <t>EG= Dual 20" DD, BI</t>
  </si>
  <si>
    <t>EH= Dual 20" DD, AF</t>
  </si>
  <si>
    <t>XX = Applied Special</t>
  </si>
  <si>
    <t>K = ECW664</t>
  </si>
  <si>
    <t>L = ECW666</t>
  </si>
  <si>
    <t>M = ECW706</t>
  </si>
  <si>
    <t>N = ECW724</t>
  </si>
  <si>
    <t>P = ECW726</t>
  </si>
  <si>
    <t>Q = ECW784</t>
  </si>
  <si>
    <t>R = ECW786</t>
  </si>
  <si>
    <t>S = ECW7812</t>
  </si>
  <si>
    <t>T = ECW844</t>
  </si>
  <si>
    <t>U = ECW846</t>
  </si>
  <si>
    <t>V = ECW8412</t>
  </si>
  <si>
    <t>X = Special</t>
  </si>
  <si>
    <t>J1 = 500MBH</t>
  </si>
  <si>
    <t>K1 = 600MBH</t>
  </si>
  <si>
    <t>A2 = 2x100MBH</t>
  </si>
  <si>
    <t>B2 = 2x200MBH</t>
  </si>
  <si>
    <t>C2 = 2x250MBH</t>
  </si>
  <si>
    <t>D2 = 2x300MBH</t>
  </si>
  <si>
    <t>E2 = 2x400MBH</t>
  </si>
  <si>
    <t>F2 = 2x350MBH</t>
  </si>
  <si>
    <t>G2 = 2x500MBH</t>
  </si>
  <si>
    <t>H2 = 2x600MBH</t>
  </si>
  <si>
    <t>A4 = 4x200MBH</t>
  </si>
  <si>
    <t>B4 = 4x250MBH</t>
  </si>
  <si>
    <t>C4 = 4x300MBH</t>
  </si>
  <si>
    <t>D4 = 4x350MBH</t>
  </si>
  <si>
    <t>E4 = 4x400MBH</t>
  </si>
  <si>
    <t>XX = Special</t>
  </si>
  <si>
    <t>Dual ECM</t>
  </si>
  <si>
    <t>DC = RHSC</t>
  </si>
  <si>
    <t>AL = RHX1</t>
  </si>
  <si>
    <t>AN = SCx1</t>
  </si>
  <si>
    <t>BC = RHx1</t>
  </si>
  <si>
    <t>BD = SCx1</t>
  </si>
  <si>
    <t>BG = RHx1</t>
  </si>
  <si>
    <t>DH = RHSC</t>
  </si>
  <si>
    <t xml:space="preserve"> RHX1</t>
  </si>
  <si>
    <t xml:space="preserve"> RHx2</t>
  </si>
  <si>
    <t xml:space="preserve"> SCx1</t>
  </si>
  <si>
    <t xml:space="preserve"> RHx1</t>
  </si>
  <si>
    <t xml:space="preserve"> RHSC</t>
  </si>
  <si>
    <t>21</t>
  </si>
  <si>
    <t>24</t>
  </si>
  <si>
    <t>25</t>
  </si>
  <si>
    <t>28</t>
  </si>
  <si>
    <t>29</t>
  </si>
  <si>
    <t>30</t>
  </si>
  <si>
    <t>31</t>
  </si>
  <si>
    <t>32</t>
  </si>
  <si>
    <t>35</t>
  </si>
  <si>
    <t>36</t>
  </si>
  <si>
    <t>37</t>
  </si>
  <si>
    <t>48</t>
  </si>
  <si>
    <t>49</t>
  </si>
  <si>
    <t>Size (5,6)</t>
  </si>
  <si>
    <t>CABINET (4)</t>
  </si>
  <si>
    <t>Condenser (12)</t>
  </si>
  <si>
    <t>SUPPLY FAN</t>
  </si>
  <si>
    <t>SUPPLY FAN MOTOR</t>
  </si>
  <si>
    <t>EVAP AND RHSC</t>
  </si>
  <si>
    <t>Cabinet Trigger</t>
  </si>
  <si>
    <t>Exhaust FAN MOTOR</t>
  </si>
  <si>
    <t>Exhaust Fan</t>
  </si>
  <si>
    <t>62XD20E-AB-AFTBT--</t>
  </si>
  <si>
    <t>Product Family</t>
  </si>
  <si>
    <t>Application</t>
  </si>
  <si>
    <t>Nominal Capacity</t>
  </si>
  <si>
    <t>Cabinet Size</t>
  </si>
  <si>
    <t>Controls</t>
  </si>
  <si>
    <t>Unit Voltage</t>
  </si>
  <si>
    <t>Model Vintage</t>
  </si>
  <si>
    <t>Airflow Orientation</t>
  </si>
  <si>
    <t>Supply Blower/Size Type</t>
  </si>
  <si>
    <t>Supply Blower Options</t>
  </si>
  <si>
    <t>Supply Motor Size</t>
  </si>
  <si>
    <t>Supply Motor Type</t>
  </si>
  <si>
    <t>Cooling Coil</t>
  </si>
  <si>
    <t>Compressor Type</t>
  </si>
  <si>
    <t>Refrigerant Pressure Switch</t>
  </si>
  <si>
    <t>Refrigeration Controls/Options</t>
  </si>
  <si>
    <t>Heating Type</t>
  </si>
  <si>
    <t>Electric Heating Capacity</t>
  </si>
  <si>
    <t>Gas Heating Capacity</t>
  </si>
  <si>
    <t>Heater Control</t>
  </si>
  <si>
    <t>Heating Gas Safety Controls</t>
  </si>
  <si>
    <t>Energy Recovery</t>
  </si>
  <si>
    <t>Energy Recovery Options</t>
  </si>
  <si>
    <t>Ventilation</t>
  </si>
  <si>
    <t>Exhaust Blower Size</t>
  </si>
  <si>
    <t>Exhaust Blower Options</t>
  </si>
  <si>
    <t>Exhaust Motor Size</t>
  </si>
  <si>
    <t>Exhaust Motor Type</t>
  </si>
  <si>
    <t>Corrosion Protection</t>
  </si>
  <si>
    <t>Maintenance Options</t>
  </si>
  <si>
    <t>Power Options</t>
  </si>
  <si>
    <t>Control Options</t>
  </si>
  <si>
    <t>Safety Controls</t>
  </si>
  <si>
    <t>Pre-Filter</t>
  </si>
  <si>
    <t>Final Filter</t>
  </si>
  <si>
    <t>PROA240D4*2**BF*B*A**ALB00**E*EBF*B************0</t>
  </si>
  <si>
    <t>Quote/Job#</t>
  </si>
  <si>
    <t>3. Double furnace will select an "XL" cabinet.</t>
  </si>
  <si>
    <t>Select appropriate Cabinet and fans</t>
  </si>
  <si>
    <t>* Corner weights along the main cabinet.</t>
  </si>
  <si>
    <t>Corner Weights</t>
  </si>
  <si>
    <t>* Weights include condenser section.</t>
  </si>
  <si>
    <t xml:space="preserve"> B1XL </t>
  </si>
  <si>
    <t xml:space="preserve"> B2XL </t>
  </si>
  <si>
    <t xml:space="preserve"> B3XL </t>
  </si>
  <si>
    <t xml:space="preserve"> B4XL </t>
  </si>
  <si>
    <t>C2XL</t>
  </si>
  <si>
    <t>C3XL</t>
  </si>
  <si>
    <t>C4XL</t>
  </si>
  <si>
    <t>C6XL</t>
  </si>
  <si>
    <t xml:space="preserve"> D4XL </t>
  </si>
  <si>
    <t xml:space="preserve"> D6XL </t>
  </si>
  <si>
    <t xml:space="preserve"> D8XL </t>
  </si>
  <si>
    <t xml:space="preserve"> E6XL </t>
  </si>
  <si>
    <t xml:space="preserve"> E8XL </t>
  </si>
  <si>
    <t>* Unit Shown: PR A1 Cabinet</t>
  </si>
  <si>
    <t>F0</t>
  </si>
  <si>
    <t>G0</t>
  </si>
  <si>
    <t>H0</t>
  </si>
  <si>
    <t>J0</t>
  </si>
  <si>
    <t>ZPT308</t>
  </si>
  <si>
    <t>j4</t>
  </si>
  <si>
    <t>e4</t>
  </si>
  <si>
    <t>232x100x108</t>
  </si>
  <si>
    <t>50</t>
  </si>
  <si>
    <t>90</t>
  </si>
  <si>
    <t>EXL</t>
  </si>
  <si>
    <t xml:space="preserve">DXL </t>
  </si>
  <si>
    <t>CXL</t>
  </si>
  <si>
    <t xml:space="preserve">BXL </t>
  </si>
  <si>
    <t>ANILSARMA7</t>
  </si>
  <si>
    <t>CR</t>
  </si>
  <si>
    <t>2. Double click the yellow cell.</t>
  </si>
  <si>
    <t>3. Paste codestring and press ENTER</t>
  </si>
  <si>
    <t>1. Get codestring from YOUR ACE PROJECT Schedule OR PRICING SCREEN</t>
  </si>
  <si>
    <t>2x150</t>
  </si>
  <si>
    <t>J2</t>
  </si>
  <si>
    <r>
      <rPr>
        <b/>
        <sz val="10"/>
        <color theme="0"/>
        <rFont val="Arial"/>
        <family val="2"/>
      </rPr>
      <t xml:space="preserve">A1 </t>
    </r>
    <r>
      <rPr>
        <sz val="10"/>
        <color theme="0"/>
        <rFont val="Arial"/>
        <family val="2"/>
      </rPr>
      <t xml:space="preserve">= 75 MBH </t>
    </r>
  </si>
  <si>
    <r>
      <rPr>
        <b/>
        <sz val="10"/>
        <color theme="0"/>
        <rFont val="Arial"/>
        <family val="2"/>
      </rPr>
      <t xml:space="preserve">B1 </t>
    </r>
    <r>
      <rPr>
        <sz val="10"/>
        <color theme="0"/>
        <rFont val="Arial"/>
        <family val="2"/>
      </rPr>
      <t xml:space="preserve">= 100 MBH </t>
    </r>
  </si>
  <si>
    <r>
      <rPr>
        <b/>
        <sz val="10"/>
        <color theme="0"/>
        <rFont val="Arial"/>
        <family val="2"/>
      </rPr>
      <t xml:space="preserve">C1 </t>
    </r>
    <r>
      <rPr>
        <sz val="10"/>
        <color theme="0"/>
        <rFont val="Arial"/>
        <family val="2"/>
      </rPr>
      <t xml:space="preserve">= 150 MBH </t>
    </r>
  </si>
  <si>
    <r>
      <rPr>
        <b/>
        <sz val="10"/>
        <color theme="0"/>
        <rFont val="Arial"/>
        <family val="2"/>
      </rPr>
      <t xml:space="preserve">D1 </t>
    </r>
    <r>
      <rPr>
        <sz val="10"/>
        <color theme="0"/>
        <rFont val="Arial"/>
        <family val="2"/>
      </rPr>
      <t xml:space="preserve">= 200 MBH </t>
    </r>
  </si>
  <si>
    <r>
      <rPr>
        <b/>
        <sz val="10"/>
        <color theme="0"/>
        <rFont val="Arial"/>
        <family val="2"/>
      </rPr>
      <t xml:space="preserve">E1 </t>
    </r>
    <r>
      <rPr>
        <sz val="10"/>
        <color theme="0"/>
        <rFont val="Arial"/>
        <family val="2"/>
      </rPr>
      <t xml:space="preserve">= 250 MBH </t>
    </r>
  </si>
  <si>
    <r>
      <rPr>
        <b/>
        <sz val="10"/>
        <color theme="0"/>
        <rFont val="Arial"/>
        <family val="2"/>
      </rPr>
      <t xml:space="preserve">F1 </t>
    </r>
    <r>
      <rPr>
        <sz val="10"/>
        <color theme="0"/>
        <rFont val="Arial"/>
        <family val="2"/>
      </rPr>
      <t xml:space="preserve">= 300 MBH </t>
    </r>
  </si>
  <si>
    <r>
      <rPr>
        <b/>
        <sz val="10"/>
        <color theme="0"/>
        <rFont val="Arial"/>
        <family val="2"/>
      </rPr>
      <t xml:space="preserve">G1 </t>
    </r>
    <r>
      <rPr>
        <sz val="10"/>
        <color theme="0"/>
        <rFont val="Arial"/>
        <family val="2"/>
      </rPr>
      <t xml:space="preserve">= 350 MBH </t>
    </r>
  </si>
  <si>
    <r>
      <rPr>
        <b/>
        <sz val="10"/>
        <color theme="0"/>
        <rFont val="Arial"/>
        <family val="2"/>
      </rPr>
      <t xml:space="preserve">H1 </t>
    </r>
    <r>
      <rPr>
        <sz val="10"/>
        <color theme="0"/>
        <rFont val="Arial"/>
        <family val="2"/>
      </rPr>
      <t xml:space="preserve">= 400 MBH </t>
    </r>
  </si>
  <si>
    <r>
      <rPr>
        <b/>
        <sz val="10"/>
        <color theme="0"/>
        <rFont val="Arial"/>
        <family val="2"/>
      </rPr>
      <t xml:space="preserve">J1 </t>
    </r>
    <r>
      <rPr>
        <sz val="10"/>
        <color theme="0"/>
        <rFont val="Arial"/>
        <family val="2"/>
      </rPr>
      <t>= 500 MBH</t>
    </r>
  </si>
  <si>
    <r>
      <rPr>
        <b/>
        <sz val="10"/>
        <color theme="0"/>
        <rFont val="Arial"/>
        <family val="2"/>
      </rPr>
      <t xml:space="preserve">K1 </t>
    </r>
    <r>
      <rPr>
        <sz val="10"/>
        <color theme="0"/>
        <rFont val="Arial"/>
        <family val="2"/>
      </rPr>
      <t>= 600 MBH</t>
    </r>
  </si>
  <si>
    <r>
      <rPr>
        <b/>
        <sz val="10"/>
        <color theme="0"/>
        <rFont val="Arial"/>
        <family val="2"/>
      </rPr>
      <t xml:space="preserve">A2 </t>
    </r>
    <r>
      <rPr>
        <sz val="10"/>
        <color theme="0"/>
        <rFont val="Arial"/>
        <family val="2"/>
      </rPr>
      <t>= 100+100 MBH</t>
    </r>
  </si>
  <si>
    <r>
      <rPr>
        <b/>
        <sz val="10"/>
        <color theme="0"/>
        <rFont val="Arial"/>
        <family val="2"/>
      </rPr>
      <t xml:space="preserve">G2 </t>
    </r>
    <r>
      <rPr>
        <sz val="10"/>
        <color theme="0"/>
        <rFont val="Arial"/>
        <family val="2"/>
      </rPr>
      <t>= 150+150 MBH</t>
    </r>
  </si>
  <si>
    <r>
      <rPr>
        <b/>
        <sz val="10"/>
        <color theme="0"/>
        <rFont val="Arial"/>
        <family val="2"/>
      </rPr>
      <t xml:space="preserve">B2 </t>
    </r>
    <r>
      <rPr>
        <sz val="10"/>
        <color theme="0"/>
        <rFont val="Arial"/>
        <family val="2"/>
      </rPr>
      <t>= 200+200 MBH</t>
    </r>
  </si>
  <si>
    <r>
      <rPr>
        <b/>
        <sz val="10"/>
        <color theme="0"/>
        <rFont val="Arial"/>
        <family val="2"/>
      </rPr>
      <t xml:space="preserve">C2 </t>
    </r>
    <r>
      <rPr>
        <sz val="10"/>
        <color theme="0"/>
        <rFont val="Arial"/>
        <family val="2"/>
      </rPr>
      <t>= 250+250 MBH</t>
    </r>
  </si>
  <si>
    <r>
      <rPr>
        <b/>
        <sz val="10"/>
        <color theme="0"/>
        <rFont val="Arial"/>
        <family val="2"/>
      </rPr>
      <t xml:space="preserve">D2 </t>
    </r>
    <r>
      <rPr>
        <sz val="10"/>
        <color theme="0"/>
        <rFont val="Arial"/>
        <family val="2"/>
      </rPr>
      <t>= 300+300 MBH</t>
    </r>
  </si>
  <si>
    <r>
      <rPr>
        <b/>
        <sz val="10"/>
        <color theme="0"/>
        <rFont val="Arial"/>
        <family val="2"/>
      </rPr>
      <t>F2</t>
    </r>
    <r>
      <rPr>
        <sz val="10"/>
        <color theme="0"/>
        <rFont val="Arial"/>
        <family val="2"/>
      </rPr>
      <t xml:space="preserve"> = 350+350 MBH</t>
    </r>
  </si>
  <si>
    <r>
      <rPr>
        <b/>
        <sz val="10"/>
        <color theme="0"/>
        <rFont val="Arial"/>
        <family val="2"/>
      </rPr>
      <t xml:space="preserve">E2 </t>
    </r>
    <r>
      <rPr>
        <sz val="10"/>
        <color theme="0"/>
        <rFont val="Arial"/>
        <family val="2"/>
      </rPr>
      <t>= 400+400 MBH</t>
    </r>
  </si>
  <si>
    <r>
      <rPr>
        <b/>
        <sz val="10"/>
        <color theme="0"/>
        <rFont val="Arial"/>
        <family val="2"/>
      </rPr>
      <t xml:space="preserve">H2 </t>
    </r>
    <r>
      <rPr>
        <sz val="10"/>
        <color theme="0"/>
        <rFont val="Arial"/>
        <family val="2"/>
      </rPr>
      <t>= 500+500MBH</t>
    </r>
  </si>
  <si>
    <r>
      <rPr>
        <b/>
        <sz val="10"/>
        <color theme="0"/>
        <rFont val="Arial"/>
        <family val="2"/>
      </rPr>
      <t xml:space="preserve">J2 </t>
    </r>
    <r>
      <rPr>
        <sz val="10"/>
        <color theme="0"/>
        <rFont val="Arial"/>
        <family val="2"/>
      </rPr>
      <t>= 600+600MBH</t>
    </r>
  </si>
  <si>
    <r>
      <rPr>
        <b/>
        <sz val="10"/>
        <color theme="0"/>
        <rFont val="Arial"/>
        <family val="2"/>
      </rPr>
      <t xml:space="preserve">A4 </t>
    </r>
    <r>
      <rPr>
        <sz val="10"/>
        <color theme="0"/>
        <rFont val="Arial"/>
        <family val="2"/>
      </rPr>
      <t>= (4) 200 MBH</t>
    </r>
  </si>
  <si>
    <r>
      <rPr>
        <b/>
        <sz val="10"/>
        <color theme="0"/>
        <rFont val="Arial"/>
        <family val="2"/>
      </rPr>
      <t xml:space="preserve">B4 </t>
    </r>
    <r>
      <rPr>
        <sz val="10"/>
        <color theme="0"/>
        <rFont val="Arial"/>
        <family val="2"/>
      </rPr>
      <t>= (4) 250 MBH</t>
    </r>
  </si>
  <si>
    <r>
      <rPr>
        <b/>
        <sz val="10"/>
        <color theme="0"/>
        <rFont val="Arial"/>
        <family val="2"/>
      </rPr>
      <t xml:space="preserve">C4 </t>
    </r>
    <r>
      <rPr>
        <sz val="10"/>
        <color theme="0"/>
        <rFont val="Arial"/>
        <family val="2"/>
      </rPr>
      <t>= (4) 300 MBH</t>
    </r>
  </si>
  <si>
    <r>
      <rPr>
        <b/>
        <sz val="10"/>
        <color theme="0"/>
        <rFont val="Arial"/>
        <family val="2"/>
      </rPr>
      <t xml:space="preserve">D4 </t>
    </r>
    <r>
      <rPr>
        <sz val="10"/>
        <color theme="0"/>
        <rFont val="Arial"/>
        <family val="2"/>
      </rPr>
      <t>= (4) 350 MBH</t>
    </r>
  </si>
  <si>
    <r>
      <rPr>
        <b/>
        <sz val="10"/>
        <color theme="0"/>
        <rFont val="Arial"/>
        <family val="2"/>
      </rPr>
      <t xml:space="preserve">E4 </t>
    </r>
    <r>
      <rPr>
        <sz val="10"/>
        <color theme="0"/>
        <rFont val="Arial"/>
        <family val="2"/>
      </rPr>
      <t>= (4) 400 MBH</t>
    </r>
  </si>
</sst>
</file>

<file path=xl/styles.xml><?xml version="1.0" encoding="utf-8"?>
<styleSheet xmlns="http://schemas.openxmlformats.org/spreadsheetml/2006/main">
  <numFmts count="17">
    <numFmt numFmtId="164" formatCode="0.000"/>
    <numFmt numFmtId="165" formatCode="0.00_);\(0.00\)"/>
    <numFmt numFmtId="166" formatCode="0.0_);\(0.0\)"/>
    <numFmt numFmtId="167" formatCode="0_);\(0\)"/>
    <numFmt numFmtId="168" formatCode="0.0"/>
    <numFmt numFmtId="169" formatCode="00"/>
    <numFmt numFmtId="170" formatCode="000"/>
    <numFmt numFmtId="171" formatCode="#,##0.0_);\(#,##0.0\)"/>
    <numFmt numFmtId="172" formatCode="_(* #,##0.0000_);_(* \(#,##0.0000\);_(* &quot;-&quot;??_);_(@_)"/>
    <numFmt numFmtId="173" formatCode="&quot;$&quot;#,##0;\-&quot;$&quot;#,##0"/>
    <numFmt numFmtId="174" formatCode="&quot;$&quot;#,##0;[Red]\-&quot;$&quot;#,##0"/>
    <numFmt numFmtId="175" formatCode="_ &quot;$&quot;* #,##0.00_ ;_ &quot;$&quot;* \-#,##0.00_ ;_ &quot;$&quot;* &quot;-&quot;??_ ;_ @_ "/>
    <numFmt numFmtId="176" formatCode="&quot;$&quot;#,##0.00;\-&quot;$&quot;#,##0.00"/>
    <numFmt numFmtId="177" formatCode="0.00_)"/>
    <numFmt numFmtId="178" formatCode="_ * #,##0.00_)\ _m_k_ ;_ * \(#,##0.00\)\ _m_k_ ;_ * &quot;-&quot;??_)\ _m_k_ ;_ @_ "/>
    <numFmt numFmtId="179" formatCode="\t0"/>
    <numFmt numFmtId="180" formatCode="\t0.00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9"/>
      <color indexed="4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43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1"/>
      <color rgb="FFC0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name val="Helv"/>
    </font>
    <font>
      <b/>
      <sz val="11"/>
      <color indexed="52"/>
      <name val="Calibri"/>
      <family val="2"/>
    </font>
    <font>
      <b/>
      <sz val="1"/>
      <color indexed="8"/>
      <name val="Courier"/>
      <family val="3"/>
    </font>
    <font>
      <b/>
      <u/>
      <sz val="1"/>
      <color indexed="8"/>
      <name val="Courier"/>
      <family val="3"/>
    </font>
    <font>
      <u/>
      <sz val="1"/>
      <color indexed="8"/>
      <name val="Courier"/>
      <family val="3"/>
    </font>
    <font>
      <sz val="1"/>
      <color indexed="8"/>
      <name val="Courier"/>
      <family val="3"/>
    </font>
    <font>
      <b/>
      <i/>
      <sz val="1"/>
      <color indexed="8"/>
      <name val="Courier"/>
      <family val="3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</font>
    <font>
      <b/>
      <sz val="18"/>
      <color indexed="56"/>
      <name val="Cambria"/>
      <family val="2"/>
    </font>
    <font>
      <sz val="14"/>
      <color rgb="FF00B050"/>
      <name val="Arial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  <font>
      <b/>
      <sz val="9"/>
      <color theme="0"/>
      <name val="Arial"/>
      <family val="2"/>
    </font>
    <font>
      <strike/>
      <sz val="10"/>
      <color theme="0"/>
      <name val="Arial"/>
      <family val="2"/>
    </font>
    <font>
      <sz val="12"/>
      <color rgb="FF00B050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10"/>
      <color theme="1" tint="0.499984740745262"/>
      <name val="Arial"/>
      <family val="2"/>
    </font>
    <font>
      <b/>
      <sz val="10"/>
      <color theme="0"/>
      <name val="Arial"/>
      <family val="2"/>
    </font>
    <font>
      <sz val="14"/>
      <color theme="0"/>
      <name val="Arial"/>
      <family val="2"/>
    </font>
    <font>
      <sz val="7"/>
      <color theme="0"/>
      <name val="Arial"/>
      <family val="2"/>
    </font>
    <font>
      <sz val="16"/>
      <color theme="5" tint="-0.49998474074526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</borders>
  <cellStyleXfs count="13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7" fillId="4" borderId="7" applyNumberFormat="0" applyFont="0" applyAlignment="0" applyProtection="0"/>
    <xf numFmtId="0" fontId="16" fillId="16" borderId="8" applyNumberFormat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2" fillId="21" borderId="0" applyNumberFormat="0" applyBorder="0" applyAlignment="0" applyProtection="0"/>
    <xf numFmtId="0" fontId="2" fillId="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3" fillId="24" borderId="0" applyNumberFormat="0" applyBorder="0" applyAlignment="0" applyProtection="0"/>
    <xf numFmtId="0" fontId="3" fillId="3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3" fillId="28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4" fillId="8" borderId="0" applyNumberFormat="0" applyBorder="0" applyAlignment="0" applyProtection="0"/>
    <xf numFmtId="0" fontId="46" fillId="0" borderId="0" applyFill="0" applyBorder="0" applyAlignment="0"/>
    <xf numFmtId="171" fontId="47" fillId="0" borderId="0" applyFill="0" applyBorder="0" applyAlignment="0"/>
    <xf numFmtId="172" fontId="47" fillId="0" borderId="0" applyFill="0" applyBorder="0" applyAlignment="0"/>
    <xf numFmtId="173" fontId="46" fillId="0" borderId="0" applyFill="0" applyBorder="0" applyAlignment="0"/>
    <xf numFmtId="174" fontId="46" fillId="0" borderId="0" applyFill="0" applyBorder="0" applyAlignment="0"/>
    <xf numFmtId="175" fontId="47" fillId="0" borderId="0" applyFill="0" applyBorder="0" applyAlignment="0"/>
    <xf numFmtId="176" fontId="46" fillId="0" borderId="0" applyFill="0" applyBorder="0" applyAlignment="0"/>
    <xf numFmtId="171" fontId="47" fillId="0" borderId="0" applyFill="0" applyBorder="0" applyAlignment="0"/>
    <xf numFmtId="0" fontId="48" fillId="29" borderId="1" applyNumberFormat="0" applyAlignment="0" applyProtection="0"/>
    <xf numFmtId="0" fontId="6" fillId="17" borderId="2" applyNumberFormat="0" applyAlignment="0" applyProtection="0"/>
    <xf numFmtId="175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4" fontId="34" fillId="0" borderId="0" applyFill="0" applyBorder="0" applyAlignment="0"/>
    <xf numFmtId="175" fontId="47" fillId="0" borderId="0" applyFill="0" applyBorder="0" applyAlignment="0"/>
    <xf numFmtId="171" fontId="47" fillId="0" borderId="0" applyFill="0" applyBorder="0" applyAlignment="0"/>
    <xf numFmtId="175" fontId="47" fillId="0" borderId="0" applyFill="0" applyBorder="0" applyAlignment="0"/>
    <xf numFmtId="176" fontId="46" fillId="0" borderId="0" applyFill="0" applyBorder="0" applyAlignment="0"/>
    <xf numFmtId="171" fontId="47" fillId="0" borderId="0" applyFill="0" applyBorder="0" applyAlignment="0"/>
    <xf numFmtId="0" fontId="8" fillId="0" borderId="0" applyNumberFormat="0" applyFill="0" applyBorder="0" applyAlignment="0" applyProtection="0"/>
    <xf numFmtId="0" fontId="49" fillId="0" borderId="0">
      <protection locked="0"/>
    </xf>
    <xf numFmtId="0" fontId="49" fillId="0" borderId="0">
      <protection locked="0"/>
    </xf>
    <xf numFmtId="0" fontId="50" fillId="0" borderId="0">
      <protection locked="0"/>
    </xf>
    <xf numFmtId="0" fontId="49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3" fillId="0" borderId="0">
      <protection locked="0"/>
    </xf>
    <xf numFmtId="0" fontId="9" fillId="22" borderId="0" applyNumberFormat="0" applyBorder="0" applyAlignment="0" applyProtection="0"/>
    <xf numFmtId="38" fontId="19" fillId="30" borderId="0" applyNumberFormat="0" applyBorder="0" applyAlignment="0" applyProtection="0"/>
    <xf numFmtId="0" fontId="54" fillId="0" borderId="26" applyNumberFormat="0" applyAlignment="0" applyProtection="0">
      <alignment horizontal="left" vertical="center"/>
    </xf>
    <xf numFmtId="0" fontId="54" fillId="0" borderId="59">
      <alignment horizontal="left" vertical="center"/>
    </xf>
    <xf numFmtId="0" fontId="55" fillId="0" borderId="62" applyNumberFormat="0" applyFill="0" applyAlignment="0" applyProtection="0"/>
    <xf numFmtId="0" fontId="56" fillId="0" borderId="63" applyNumberFormat="0" applyFill="0" applyAlignment="0" applyProtection="0"/>
    <xf numFmtId="0" fontId="57" fillId="0" borderId="64" applyNumberFormat="0" applyFill="0" applyAlignment="0" applyProtection="0"/>
    <xf numFmtId="0" fontId="57" fillId="0" borderId="0" applyNumberFormat="0" applyFill="0" applyBorder="0" applyAlignment="0" applyProtection="0"/>
    <xf numFmtId="10" fontId="19" fillId="31" borderId="10" applyNumberFormat="0" applyBorder="0" applyAlignment="0" applyProtection="0"/>
    <xf numFmtId="0" fontId="13" fillId="5" borderId="1" applyNumberFormat="0" applyAlignment="0" applyProtection="0"/>
    <xf numFmtId="0" fontId="13" fillId="5" borderId="1" applyNumberFormat="0" applyAlignment="0" applyProtection="0"/>
    <xf numFmtId="175" fontId="47" fillId="0" borderId="0" applyFill="0" applyBorder="0" applyAlignment="0"/>
    <xf numFmtId="171" fontId="47" fillId="0" borderId="0" applyFill="0" applyBorder="0" applyAlignment="0"/>
    <xf numFmtId="175" fontId="47" fillId="0" borderId="0" applyFill="0" applyBorder="0" applyAlignment="0"/>
    <xf numFmtId="176" fontId="46" fillId="0" borderId="0" applyFill="0" applyBorder="0" applyAlignment="0"/>
    <xf numFmtId="171" fontId="47" fillId="0" borderId="0" applyFill="0" applyBorder="0" applyAlignment="0"/>
    <xf numFmtId="0" fontId="58" fillId="0" borderId="65" applyNumberFormat="0" applyFill="0" applyAlignment="0" applyProtection="0"/>
    <xf numFmtId="0" fontId="59" fillId="7" borderId="0" applyNumberFormat="0" applyBorder="0" applyAlignment="0" applyProtection="0"/>
    <xf numFmtId="177" fontId="60" fillId="0" borderId="0"/>
    <xf numFmtId="0" fontId="7" fillId="4" borderId="7" applyNumberFormat="0" applyFont="0" applyAlignment="0" applyProtection="0"/>
    <xf numFmtId="0" fontId="16" fillId="29" borderId="8" applyNumberFormat="0" applyAlignment="0" applyProtection="0"/>
    <xf numFmtId="174" fontId="46" fillId="0" borderId="0" applyFont="0" applyFill="0" applyBorder="0" applyAlignment="0" applyProtection="0"/>
    <xf numFmtId="178" fontId="46" fillId="0" borderId="0" applyFont="0" applyFill="0" applyBorder="0" applyAlignment="0" applyProtection="0"/>
    <xf numFmtId="10" fontId="7" fillId="0" borderId="0" applyFont="0" applyFill="0" applyBorder="0" applyAlignment="0" applyProtection="0"/>
    <xf numFmtId="175" fontId="47" fillId="0" borderId="0" applyFill="0" applyBorder="0" applyAlignment="0"/>
    <xf numFmtId="171" fontId="47" fillId="0" borderId="0" applyFill="0" applyBorder="0" applyAlignment="0"/>
    <xf numFmtId="175" fontId="47" fillId="0" borderId="0" applyFill="0" applyBorder="0" applyAlignment="0"/>
    <xf numFmtId="176" fontId="46" fillId="0" borderId="0" applyFill="0" applyBorder="0" applyAlignment="0"/>
    <xf numFmtId="171" fontId="47" fillId="0" borderId="0" applyFill="0" applyBorder="0" applyAlignment="0"/>
    <xf numFmtId="49" fontId="34" fillId="0" borderId="0" applyFill="0" applyBorder="0" applyAlignment="0"/>
    <xf numFmtId="179" fontId="7" fillId="0" borderId="0" applyFill="0" applyBorder="0" applyAlignment="0"/>
    <xf numFmtId="180" fontId="7" fillId="0" borderId="0" applyFill="0" applyBorder="0" applyAlignment="0"/>
    <xf numFmtId="0" fontId="61" fillId="0" borderId="0" applyNumberFormat="0" applyFill="0" applyBorder="0" applyAlignment="0" applyProtection="0"/>
    <xf numFmtId="0" fontId="18" fillId="0" borderId="66" applyNumberFormat="0" applyFill="0" applyAlignment="0" applyProtection="0"/>
    <xf numFmtId="0" fontId="14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11" xfId="0" applyBorder="1"/>
    <xf numFmtId="0" fontId="27" fillId="0" borderId="11" xfId="0" applyFont="1" applyBorder="1" applyProtection="1">
      <protection hidden="1"/>
    </xf>
    <xf numFmtId="0" fontId="0" fillId="0" borderId="12" xfId="0" applyBorder="1"/>
    <xf numFmtId="0" fontId="27" fillId="0" borderId="12" xfId="0" applyFont="1" applyBorder="1" applyProtection="1">
      <protection hidden="1"/>
    </xf>
    <xf numFmtId="0" fontId="24" fillId="0" borderId="12" xfId="0" applyFont="1" applyBorder="1"/>
    <xf numFmtId="170" fontId="27" fillId="0" borderId="12" xfId="0" applyNumberFormat="1" applyFont="1" applyBorder="1" applyProtection="1">
      <protection hidden="1"/>
    </xf>
    <xf numFmtId="0" fontId="21" fillId="0" borderId="13" xfId="0" applyFont="1" applyBorder="1" applyAlignment="1">
      <alignment horizontal="center"/>
    </xf>
    <xf numFmtId="0" fontId="0" fillId="0" borderId="14" xfId="0" applyBorder="1"/>
    <xf numFmtId="0" fontId="0" fillId="0" borderId="15" xfId="0" applyBorder="1" applyProtection="1">
      <protection hidden="1"/>
    </xf>
    <xf numFmtId="0" fontId="0" fillId="0" borderId="13" xfId="0" applyBorder="1" applyProtection="1">
      <protection hidden="1"/>
    </xf>
    <xf numFmtId="0" fontId="25" fillId="0" borderId="13" xfId="0" applyFont="1" applyBorder="1" applyProtection="1">
      <protection hidden="1"/>
    </xf>
    <xf numFmtId="0" fontId="0" fillId="0" borderId="13" xfId="0" applyBorder="1"/>
    <xf numFmtId="0" fontId="22" fillId="0" borderId="17" xfId="0" applyFont="1" applyBorder="1" applyAlignment="1" applyProtection="1">
      <alignment vertical="center"/>
      <protection locked="0" hidden="1"/>
    </xf>
    <xf numFmtId="0" fontId="22" fillId="0" borderId="18" xfId="0" applyFont="1" applyBorder="1" applyAlignment="1" applyProtection="1">
      <alignment horizontal="center" vertical="center"/>
      <protection locked="0" hidden="1"/>
    </xf>
    <xf numFmtId="0" fontId="22" fillId="0" borderId="19" xfId="0" applyFont="1" applyBorder="1" applyAlignment="1" applyProtection="1">
      <alignment horizontal="center" vertical="center"/>
      <protection locked="0" hidden="1"/>
    </xf>
    <xf numFmtId="0" fontId="22" fillId="0" borderId="10" xfId="0" applyFont="1" applyBorder="1" applyAlignment="1" applyProtection="1">
      <alignment horizontal="center" vertical="center"/>
      <protection locked="0" hidden="1"/>
    </xf>
    <xf numFmtId="0" fontId="22" fillId="0" borderId="20" xfId="0" applyFont="1" applyBorder="1" applyAlignment="1" applyProtection="1">
      <alignment horizontal="center" vertical="center"/>
      <protection locked="0" hidden="1"/>
    </xf>
    <xf numFmtId="1" fontId="31" fillId="0" borderId="19" xfId="0" applyNumberFormat="1" applyFont="1" applyBorder="1" applyAlignment="1" applyProtection="1">
      <alignment horizontal="center" vertical="center"/>
      <protection locked="0" hidden="1"/>
    </xf>
    <xf numFmtId="1" fontId="31" fillId="0" borderId="10" xfId="0" applyNumberFormat="1" applyFont="1" applyBorder="1" applyAlignment="1" applyProtection="1">
      <alignment horizontal="center" vertical="center"/>
      <protection locked="0" hidden="1"/>
    </xf>
    <xf numFmtId="168" fontId="31" fillId="0" borderId="10" xfId="0" applyNumberFormat="1" applyFont="1" applyBorder="1" applyAlignment="1" applyProtection="1">
      <alignment horizontal="center" vertical="center"/>
      <protection locked="0" hidden="1"/>
    </xf>
    <xf numFmtId="1" fontId="31" fillId="0" borderId="20" xfId="0" applyNumberFormat="1" applyFont="1" applyBorder="1" applyAlignment="1" applyProtection="1">
      <alignment horizontal="center" vertical="center"/>
      <protection locked="0" hidden="1"/>
    </xf>
    <xf numFmtId="165" fontId="31" fillId="0" borderId="21" xfId="0" applyNumberFormat="1" applyFont="1" applyBorder="1" applyAlignment="1" applyProtection="1">
      <alignment horizontal="center" vertical="center"/>
      <protection locked="0" hidden="1"/>
    </xf>
    <xf numFmtId="165" fontId="31" fillId="0" borderId="22" xfId="0" applyNumberFormat="1" applyFont="1" applyBorder="1" applyAlignment="1" applyProtection="1">
      <alignment horizontal="center" vertical="center"/>
      <protection locked="0" hidden="1"/>
    </xf>
    <xf numFmtId="167" fontId="31" fillId="0" borderId="23" xfId="0" applyNumberFormat="1" applyFont="1" applyBorder="1" applyAlignment="1" applyProtection="1">
      <alignment horizontal="center" vertical="center"/>
      <protection locked="0" hidden="1"/>
    </xf>
    <xf numFmtId="166" fontId="31" fillId="0" borderId="23" xfId="0" applyNumberFormat="1" applyFont="1" applyBorder="1" applyAlignment="1" applyProtection="1">
      <alignment horizontal="center" vertical="center"/>
      <protection locked="0" hidden="1"/>
    </xf>
    <xf numFmtId="166" fontId="31" fillId="0" borderId="24" xfId="0" applyNumberFormat="1" applyFont="1" applyBorder="1" applyAlignment="1" applyProtection="1">
      <alignment horizontal="center" vertical="center"/>
      <protection locked="0" hidden="1"/>
    </xf>
    <xf numFmtId="0" fontId="32" fillId="0" borderId="25" xfId="0" applyFont="1" applyBorder="1" applyProtection="1">
      <protection locked="0" hidden="1"/>
    </xf>
    <xf numFmtId="0" fontId="33" fillId="0" borderId="26" xfId="0" applyFont="1" applyBorder="1" applyProtection="1">
      <protection locked="0" hidden="1"/>
    </xf>
    <xf numFmtId="14" fontId="0" fillId="0" borderId="12" xfId="0" applyNumberFormat="1" applyBorder="1"/>
    <xf numFmtId="170" fontId="0" fillId="0" borderId="14" xfId="0" applyNumberFormat="1" applyBorder="1"/>
    <xf numFmtId="0" fontId="35" fillId="0" borderId="12" xfId="0" applyFont="1" applyBorder="1" applyProtection="1">
      <protection hidden="1"/>
    </xf>
    <xf numFmtId="0" fontId="0" fillId="0" borderId="42" xfId="0" applyBorder="1"/>
    <xf numFmtId="0" fontId="29" fillId="0" borderId="42" xfId="0" applyFont="1" applyBorder="1"/>
    <xf numFmtId="0" fontId="30" fillId="0" borderId="19" xfId="0" applyFont="1" applyBorder="1" applyProtection="1">
      <protection locked="0" hidden="1"/>
    </xf>
    <xf numFmtId="0" fontId="0" fillId="0" borderId="16" xfId="0" applyBorder="1" applyProtection="1">
      <protection locked="0" hidden="1"/>
    </xf>
    <xf numFmtId="0" fontId="30" fillId="0" borderId="10" xfId="0" applyFont="1" applyBorder="1" applyProtection="1">
      <protection locked="0" hidden="1"/>
    </xf>
    <xf numFmtId="0" fontId="28" fillId="0" borderId="15" xfId="0" applyFont="1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12" xfId="0" applyBorder="1" applyProtection="1">
      <protection locked="0" hidden="1"/>
    </xf>
    <xf numFmtId="170" fontId="0" fillId="0" borderId="43" xfId="0" applyNumberFormat="1" applyBorder="1" applyProtection="1">
      <protection locked="0" hidden="1"/>
    </xf>
    <xf numFmtId="170" fontId="0" fillId="0" borderId="44" xfId="0" applyNumberFormat="1" applyBorder="1" applyProtection="1">
      <protection locked="0" hidden="1"/>
    </xf>
    <xf numFmtId="0" fontId="0" fillId="0" borderId="44" xfId="0" applyBorder="1" applyProtection="1">
      <protection locked="0" hidden="1"/>
    </xf>
    <xf numFmtId="0" fontId="0" fillId="0" borderId="45" xfId="0" applyBorder="1" applyProtection="1">
      <protection locked="0" hidden="1"/>
    </xf>
    <xf numFmtId="0" fontId="0" fillId="0" borderId="46" xfId="0" applyBorder="1" applyProtection="1">
      <protection locked="0" hidden="1"/>
    </xf>
    <xf numFmtId="0" fontId="0" fillId="0" borderId="47" xfId="0" applyBorder="1" applyProtection="1">
      <protection locked="0" hidden="1"/>
    </xf>
    <xf numFmtId="0" fontId="0" fillId="0" borderId="48" xfId="0" applyBorder="1" applyProtection="1">
      <protection locked="0" hidden="1"/>
    </xf>
    <xf numFmtId="0" fontId="0" fillId="0" borderId="49" xfId="0" applyBorder="1" applyProtection="1">
      <protection locked="0" hidden="1"/>
    </xf>
    <xf numFmtId="0" fontId="0" fillId="0" borderId="50" xfId="0" applyBorder="1" applyProtection="1">
      <protection locked="0" hidden="1"/>
    </xf>
    <xf numFmtId="0" fontId="0" fillId="0" borderId="52" xfId="0" applyBorder="1" applyProtection="1">
      <protection locked="0" hidden="1"/>
    </xf>
    <xf numFmtId="0" fontId="0" fillId="0" borderId="53" xfId="0" applyBorder="1" applyProtection="1">
      <protection locked="0" hidden="1"/>
    </xf>
    <xf numFmtId="14" fontId="33" fillId="0" borderId="35" xfId="0" applyNumberFormat="1" applyFont="1" applyBorder="1" applyProtection="1">
      <protection locked="0" hidden="1"/>
    </xf>
    <xf numFmtId="0" fontId="7" fillId="0" borderId="11" xfId="0" applyFont="1" applyBorder="1" applyProtection="1">
      <protection hidden="1"/>
    </xf>
    <xf numFmtId="0" fontId="7" fillId="0" borderId="12" xfId="0" applyFont="1" applyBorder="1" applyProtection="1">
      <protection hidden="1"/>
    </xf>
    <xf numFmtId="169" fontId="7" fillId="0" borderId="12" xfId="0" applyNumberFormat="1" applyFont="1" applyBorder="1" applyProtection="1">
      <protection hidden="1"/>
    </xf>
    <xf numFmtId="0" fontId="7" fillId="0" borderId="12" xfId="0" applyNumberFormat="1" applyFont="1" applyBorder="1" applyProtection="1">
      <protection hidden="1"/>
    </xf>
    <xf numFmtId="170" fontId="7" fillId="0" borderId="12" xfId="0" applyNumberFormat="1" applyFont="1" applyBorder="1" applyAlignment="1" applyProtection="1">
      <alignment horizontal="left"/>
      <protection hidden="1"/>
    </xf>
    <xf numFmtId="170" fontId="7" fillId="0" borderId="12" xfId="0" applyNumberFormat="1" applyFont="1" applyBorder="1" applyProtection="1">
      <protection hidden="1"/>
    </xf>
    <xf numFmtId="0" fontId="36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41" fillId="0" borderId="0" xfId="0" quotePrefix="1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10" xfId="0" applyBorder="1"/>
    <xf numFmtId="49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49" fontId="20" fillId="0" borderId="0" xfId="43" applyNumberFormat="1" applyFont="1" applyFill="1" applyBorder="1" applyAlignment="1">
      <alignment horizontal="center" vertical="center" wrapText="1"/>
    </xf>
    <xf numFmtId="0" fontId="1" fillId="0" borderId="0" xfId="44"/>
    <xf numFmtId="0" fontId="1" fillId="0" borderId="0" xfId="44" applyAlignment="1">
      <alignment horizontal="center"/>
    </xf>
    <xf numFmtId="49" fontId="7" fillId="0" borderId="0" xfId="45" applyNumberFormat="1" applyFont="1" applyFill="1" applyBorder="1" applyAlignment="1">
      <alignment horizontal="center" vertical="center" wrapText="1"/>
    </xf>
    <xf numFmtId="169" fontId="45" fillId="0" borderId="0" xfId="44" applyNumberFormat="1" applyFont="1" applyAlignment="1">
      <alignment horizontal="center"/>
    </xf>
    <xf numFmtId="0" fontId="1" fillId="20" borderId="0" xfId="44" applyFill="1" applyAlignment="1">
      <alignment horizontal="center"/>
    </xf>
    <xf numFmtId="0" fontId="1" fillId="0" borderId="0" xfId="44" applyFill="1"/>
    <xf numFmtId="0" fontId="39" fillId="0" borderId="0" xfId="44" applyFont="1" applyBorder="1" applyAlignment="1">
      <alignment horizontal="center"/>
    </xf>
    <xf numFmtId="0" fontId="44" fillId="0" borderId="0" xfId="44" applyFont="1" applyBorder="1" applyAlignment="1">
      <alignment horizontal="center"/>
    </xf>
    <xf numFmtId="0" fontId="44" fillId="0" borderId="0" xfId="44" quotePrefix="1" applyFont="1" applyBorder="1" applyAlignment="1">
      <alignment horizontal="center"/>
    </xf>
    <xf numFmtId="49" fontId="1" fillId="0" borderId="0" xfId="44" applyNumberFormat="1"/>
    <xf numFmtId="0" fontId="38" fillId="0" borderId="0" xfId="44" applyFont="1" applyAlignment="1">
      <alignment horizontal="center"/>
    </xf>
    <xf numFmtId="0" fontId="40" fillId="0" borderId="10" xfId="44" applyFont="1" applyBorder="1"/>
    <xf numFmtId="0" fontId="40" fillId="0" borderId="10" xfId="44" applyFont="1" applyBorder="1" applyAlignment="1">
      <alignment horizontal="center"/>
    </xf>
    <xf numFmtId="0" fontId="36" fillId="0" borderId="0" xfId="44" applyFont="1" applyAlignment="1">
      <alignment horizontal="center"/>
    </xf>
    <xf numFmtId="0" fontId="36" fillId="0" borderId="10" xfId="44" applyFont="1" applyBorder="1" applyAlignment="1">
      <alignment horizontal="center"/>
    </xf>
    <xf numFmtId="0" fontId="45" fillId="0" borderId="0" xfId="44" applyFont="1" applyAlignment="1">
      <alignment horizontal="center"/>
    </xf>
    <xf numFmtId="0" fontId="36" fillId="0" borderId="0" xfId="44" applyFont="1" applyFill="1" applyBorder="1" applyAlignment="1">
      <alignment horizontal="center"/>
    </xf>
    <xf numFmtId="0" fontId="39" fillId="0" borderId="0" xfId="44" applyFont="1" applyFill="1" applyBorder="1" applyAlignment="1">
      <alignment horizontal="center"/>
    </xf>
    <xf numFmtId="0" fontId="45" fillId="0" borderId="0" xfId="44" applyFont="1" applyFill="1" applyBorder="1" applyAlignment="1">
      <alignment horizontal="center"/>
    </xf>
    <xf numFmtId="0" fontId="36" fillId="0" borderId="10" xfId="44" applyFont="1" applyFill="1" applyBorder="1" applyAlignment="1">
      <alignment horizontal="center"/>
    </xf>
    <xf numFmtId="0" fontId="40" fillId="0" borderId="10" xfId="44" applyFont="1" applyFill="1" applyBorder="1" applyAlignment="1">
      <alignment horizontal="left"/>
    </xf>
    <xf numFmtId="0" fontId="1" fillId="0" borderId="0" xfId="44" applyAlignment="1">
      <alignment horizontal="right"/>
    </xf>
    <xf numFmtId="0" fontId="45" fillId="0" borderId="61" xfId="44" applyFont="1" applyFill="1" applyBorder="1" applyAlignment="1">
      <alignment horizontal="center"/>
    </xf>
    <xf numFmtId="0" fontId="1" fillId="0" borderId="0" xfId="44" applyFill="1" applyAlignment="1">
      <alignment horizontal="center"/>
    </xf>
    <xf numFmtId="49" fontId="1" fillId="0" borderId="0" xfId="44" applyNumberFormat="1" applyBorder="1"/>
    <xf numFmtId="0" fontId="36" fillId="0" borderId="0" xfId="44" applyFont="1" applyBorder="1" applyAlignment="1">
      <alignment horizontal="center"/>
    </xf>
    <xf numFmtId="0" fontId="45" fillId="0" borderId="0" xfId="44" applyFont="1" applyBorder="1" applyAlignment="1">
      <alignment horizontal="center"/>
    </xf>
    <xf numFmtId="1" fontId="45" fillId="0" borderId="0" xfId="44" applyNumberFormat="1" applyFont="1" applyBorder="1" applyAlignment="1">
      <alignment horizontal="center"/>
    </xf>
    <xf numFmtId="0" fontId="1" fillId="0" borderId="0" xfId="44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9" fontId="1" fillId="0" borderId="0" xfId="44" applyNumberFormat="1" applyAlignment="1">
      <alignment horizontal="left"/>
    </xf>
    <xf numFmtId="49" fontId="7" fillId="0" borderId="0" xfId="45" applyNumberForma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45" fillId="0" borderId="0" xfId="44" applyNumberFormat="1" applyFont="1" applyAlignment="1">
      <alignment horizontal="center"/>
    </xf>
    <xf numFmtId="0" fontId="7" fillId="0" borderId="12" xfId="0" applyFont="1" applyBorder="1"/>
    <xf numFmtId="0" fontId="19" fillId="0" borderId="26" xfId="0" applyFont="1" applyBorder="1" applyProtection="1">
      <protection locked="0" hidden="1"/>
    </xf>
    <xf numFmtId="0" fontId="26" fillId="0" borderId="13" xfId="0" applyFont="1" applyBorder="1" applyAlignment="1" applyProtection="1">
      <alignment wrapText="1"/>
      <protection hidden="1"/>
    </xf>
    <xf numFmtId="0" fontId="25" fillId="0" borderId="13" xfId="0" applyFont="1" applyBorder="1" applyAlignment="1" applyProtection="1">
      <alignment wrapText="1"/>
      <protection hidden="1"/>
    </xf>
    <xf numFmtId="0" fontId="35" fillId="0" borderId="0" xfId="0" applyFont="1" applyBorder="1" applyAlignment="1">
      <alignment wrapText="1"/>
    </xf>
    <xf numFmtId="0" fontId="63" fillId="0" borderId="11" xfId="0" applyFont="1" applyBorder="1" applyProtection="1">
      <protection hidden="1"/>
    </xf>
    <xf numFmtId="0" fontId="64" fillId="0" borderId="11" xfId="0" applyFont="1" applyBorder="1" applyAlignment="1" applyProtection="1">
      <alignment horizontal="center" vertical="center"/>
      <protection hidden="1"/>
    </xf>
    <xf numFmtId="0" fontId="63" fillId="0" borderId="12" xfId="0" applyFont="1" applyBorder="1" applyProtection="1">
      <protection hidden="1"/>
    </xf>
    <xf numFmtId="49" fontId="63" fillId="0" borderId="12" xfId="0" applyNumberFormat="1" applyFont="1" applyBorder="1" applyProtection="1">
      <protection hidden="1"/>
    </xf>
    <xf numFmtId="0" fontId="65" fillId="0" borderId="10" xfId="0" applyFont="1" applyBorder="1" applyAlignment="1">
      <alignment horizontal="center"/>
    </xf>
    <xf numFmtId="49" fontId="63" fillId="0" borderId="0" xfId="0" applyNumberFormat="1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169" fontId="63" fillId="0" borderId="12" xfId="0" applyNumberFormat="1" applyFont="1" applyBorder="1" applyProtection="1">
      <protection hidden="1"/>
    </xf>
    <xf numFmtId="0" fontId="66" fillId="19" borderId="0" xfId="0" applyFont="1" applyFill="1" applyBorder="1" applyAlignment="1">
      <alignment horizontal="left" vertical="center"/>
    </xf>
    <xf numFmtId="0" fontId="66" fillId="0" borderId="12" xfId="0" applyFont="1" applyBorder="1" applyProtection="1">
      <protection hidden="1"/>
    </xf>
    <xf numFmtId="0" fontId="63" fillId="0" borderId="12" xfId="0" applyNumberFormat="1" applyFont="1" applyBorder="1" applyProtection="1">
      <protection hidden="1"/>
    </xf>
    <xf numFmtId="49" fontId="63" fillId="19" borderId="0" xfId="0" applyNumberFormat="1" applyFont="1" applyFill="1" applyBorder="1" applyAlignment="1">
      <alignment horizontal="left" vertical="center"/>
    </xf>
    <xf numFmtId="0" fontId="0" fillId="0" borderId="67" xfId="0" applyBorder="1"/>
    <xf numFmtId="0" fontId="35" fillId="0" borderId="32" xfId="0" applyFont="1" applyBorder="1" applyAlignment="1">
      <alignment wrapText="1"/>
    </xf>
    <xf numFmtId="0" fontId="0" fillId="0" borderId="44" xfId="0" applyBorder="1"/>
    <xf numFmtId="0" fontId="62" fillId="0" borderId="32" xfId="0" applyFont="1" applyBorder="1" applyAlignment="1">
      <alignment vertical="center" wrapText="1"/>
    </xf>
    <xf numFmtId="0" fontId="67" fillId="0" borderId="32" xfId="0" applyFont="1" applyBorder="1" applyAlignment="1">
      <alignment vertical="center" wrapText="1"/>
    </xf>
    <xf numFmtId="0" fontId="0" fillId="0" borderId="68" xfId="0" applyBorder="1"/>
    <xf numFmtId="0" fontId="35" fillId="0" borderId="36" xfId="0" applyFont="1" applyBorder="1" applyAlignment="1">
      <alignment wrapText="1"/>
    </xf>
    <xf numFmtId="0" fontId="0" fillId="0" borderId="49" xfId="0" applyBorder="1"/>
    <xf numFmtId="0" fontId="0" fillId="0" borderId="69" xfId="0" applyBorder="1"/>
    <xf numFmtId="0" fontId="0" fillId="0" borderId="70" xfId="0" applyBorder="1"/>
    <xf numFmtId="0" fontId="0" fillId="0" borderId="48" xfId="0" applyBorder="1"/>
    <xf numFmtId="0" fontId="0" fillId="0" borderId="47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62" fillId="0" borderId="0" xfId="0" applyFont="1" applyBorder="1" applyAlignment="1">
      <alignment vertical="center" wrapText="1"/>
    </xf>
    <xf numFmtId="0" fontId="0" fillId="0" borderId="0" xfId="0" applyBorder="1"/>
    <xf numFmtId="0" fontId="68" fillId="0" borderId="10" xfId="0" applyFont="1" applyBorder="1" applyAlignment="1">
      <alignment horizontal="center"/>
    </xf>
    <xf numFmtId="0" fontId="68" fillId="0" borderId="10" xfId="0" applyFont="1" applyBorder="1"/>
    <xf numFmtId="16" fontId="68" fillId="0" borderId="10" xfId="0" applyNumberFormat="1" applyFont="1" applyBorder="1"/>
    <xf numFmtId="0" fontId="0" fillId="0" borderId="60" xfId="0" applyFill="1" applyBorder="1" applyProtection="1">
      <protection locked="0" hidden="1"/>
    </xf>
    <xf numFmtId="0" fontId="0" fillId="0" borderId="59" xfId="0" applyFill="1" applyBorder="1" applyProtection="1">
      <protection locked="0" hidden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7" fillId="0" borderId="52" xfId="0" applyFont="1" applyBorder="1"/>
    <xf numFmtId="0" fontId="70" fillId="0" borderId="52" xfId="0" applyFont="1" applyBorder="1" applyProtection="1">
      <protection locked="0" hidden="1"/>
    </xf>
    <xf numFmtId="0" fontId="70" fillId="0" borderId="31" xfId="0" applyFont="1" applyBorder="1" applyAlignment="1">
      <alignment wrapText="1"/>
    </xf>
    <xf numFmtId="0" fontId="70" fillId="0" borderId="51" xfId="0" applyFont="1" applyBorder="1" applyProtection="1">
      <protection locked="0" hidden="1"/>
    </xf>
    <xf numFmtId="0" fontId="69" fillId="32" borderId="10" xfId="0" applyFont="1" applyFill="1" applyBorder="1" applyAlignment="1" applyProtection="1">
      <alignment horizontal="left"/>
      <protection locked="0"/>
    </xf>
    <xf numFmtId="170" fontId="69" fillId="32" borderId="10" xfId="0" applyNumberFormat="1" applyFont="1" applyFill="1" applyBorder="1" applyAlignment="1" applyProtection="1">
      <alignment horizontal="left" vertical="center"/>
      <protection locked="0"/>
    </xf>
    <xf numFmtId="169" fontId="69" fillId="32" borderId="10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 applyProtection="1">
      <alignment horizontal="center" vertical="center"/>
      <protection locked="0" hidden="1"/>
    </xf>
    <xf numFmtId="0" fontId="71" fillId="0" borderId="0" xfId="0" applyFont="1" applyFill="1" applyBorder="1" applyAlignment="1" applyProtection="1">
      <alignment horizontal="center"/>
      <protection locked="0" hidden="1"/>
    </xf>
    <xf numFmtId="0" fontId="71" fillId="0" borderId="10" xfId="0" applyFont="1" applyFill="1" applyBorder="1" applyAlignment="1" applyProtection="1">
      <alignment horizontal="center"/>
      <protection locked="0"/>
    </xf>
    <xf numFmtId="2" fontId="63" fillId="0" borderId="0" xfId="0" applyNumberFormat="1" applyFont="1" applyFill="1" applyBorder="1" applyAlignment="1" applyProtection="1">
      <alignment horizontal="center"/>
      <protection locked="0" hidden="1"/>
    </xf>
    <xf numFmtId="0" fontId="63" fillId="0" borderId="10" xfId="0" applyFont="1" applyFill="1" applyBorder="1" applyAlignment="1" applyProtection="1">
      <alignment horizontal="center"/>
      <protection locked="0" hidden="1"/>
    </xf>
    <xf numFmtId="0" fontId="63" fillId="0" borderId="0" xfId="0" applyFont="1" applyFill="1" applyBorder="1" applyAlignment="1" applyProtection="1">
      <alignment horizontal="center"/>
      <protection locked="0" hidden="1"/>
    </xf>
    <xf numFmtId="0" fontId="63" fillId="0" borderId="10" xfId="0" applyFont="1" applyFill="1" applyBorder="1" applyAlignment="1" applyProtection="1">
      <alignment horizontal="center"/>
      <protection locked="0"/>
    </xf>
    <xf numFmtId="164" fontId="63" fillId="0" borderId="0" xfId="0" applyNumberFormat="1" applyFont="1" applyFill="1" applyBorder="1" applyAlignment="1" applyProtection="1">
      <alignment horizontal="center"/>
      <protection locked="0" hidden="1"/>
    </xf>
    <xf numFmtId="0" fontId="72" fillId="0" borderId="0" xfId="0" applyNumberFormat="1" applyFont="1" applyFill="1" applyBorder="1" applyAlignment="1" applyProtection="1">
      <alignment horizontal="center"/>
      <protection locked="0" hidden="1"/>
    </xf>
    <xf numFmtId="1" fontId="72" fillId="0" borderId="0" xfId="0" applyNumberFormat="1" applyFont="1" applyFill="1" applyBorder="1" applyAlignment="1" applyProtection="1">
      <alignment horizontal="center"/>
      <protection locked="0" hidden="1"/>
    </xf>
    <xf numFmtId="0" fontId="65" fillId="0" borderId="0" xfId="0" applyFont="1" applyFill="1" applyBorder="1" applyAlignment="1" applyProtection="1">
      <alignment horizontal="center"/>
      <protection locked="0" hidden="1"/>
    </xf>
    <xf numFmtId="1" fontId="63" fillId="0" borderId="0" xfId="0" applyNumberFormat="1" applyFont="1" applyFill="1" applyBorder="1" applyAlignment="1" applyProtection="1">
      <alignment horizontal="center"/>
      <protection locked="0" hidden="1"/>
    </xf>
    <xf numFmtId="0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Protection="1">
      <protection locked="0" hidden="1"/>
    </xf>
    <xf numFmtId="0" fontId="63" fillId="0" borderId="0" xfId="0" applyFont="1" applyFill="1" applyProtection="1">
      <protection locked="0" hidden="1"/>
    </xf>
    <xf numFmtId="1" fontId="63" fillId="0" borderId="0" xfId="0" applyNumberFormat="1" applyFont="1" applyFill="1" applyProtection="1">
      <protection locked="0" hidden="1"/>
    </xf>
    <xf numFmtId="1" fontId="63" fillId="0" borderId="0" xfId="0" applyNumberFormat="1" applyFont="1" applyFill="1" applyBorder="1" applyProtection="1">
      <protection locked="0" hidden="1"/>
    </xf>
    <xf numFmtId="0" fontId="63" fillId="0" borderId="0" xfId="0" applyFont="1" applyFill="1" applyAlignment="1" applyProtection="1">
      <alignment horizontal="center"/>
      <protection locked="0" hidden="1"/>
    </xf>
    <xf numFmtId="0" fontId="63" fillId="0" borderId="0" xfId="0" applyFont="1" applyFill="1" applyAlignment="1" applyProtection="1">
      <alignment horizontal="left"/>
      <protection locked="0" hidden="1"/>
    </xf>
    <xf numFmtId="0" fontId="64" fillId="0" borderId="0" xfId="0" applyFont="1" applyFill="1" applyAlignment="1" applyProtection="1">
      <alignment horizontal="left" vertical="center"/>
      <protection locked="0" hidden="1"/>
    </xf>
    <xf numFmtId="49" fontId="63" fillId="0" borderId="0" xfId="0" applyNumberFormat="1" applyFont="1" applyFill="1" applyProtection="1">
      <protection locked="0" hidden="1"/>
    </xf>
    <xf numFmtId="169" fontId="63" fillId="0" borderId="0" xfId="0" applyNumberFormat="1" applyFont="1" applyFill="1" applyAlignment="1" applyProtection="1">
      <alignment horizontal="center"/>
      <protection locked="0" hidden="1"/>
    </xf>
    <xf numFmtId="0" fontId="63" fillId="0" borderId="31" xfId="0" applyFont="1" applyFill="1" applyBorder="1" applyProtection="1">
      <protection locked="0" hidden="1"/>
    </xf>
    <xf numFmtId="0" fontId="63" fillId="0" borderId="32" xfId="0" applyFont="1" applyFill="1" applyBorder="1" applyProtection="1">
      <protection locked="0" hidden="1"/>
    </xf>
    <xf numFmtId="0" fontId="63" fillId="0" borderId="33" xfId="0" applyFont="1" applyFill="1" applyBorder="1" applyProtection="1">
      <protection locked="0" hidden="1"/>
    </xf>
    <xf numFmtId="0" fontId="63" fillId="0" borderId="36" xfId="0" applyFont="1" applyFill="1" applyBorder="1" applyProtection="1">
      <protection locked="0" hidden="1"/>
    </xf>
    <xf numFmtId="0" fontId="63" fillId="0" borderId="37" xfId="0" applyFont="1" applyFill="1" applyBorder="1" applyProtection="1">
      <protection locked="0" hidden="1"/>
    </xf>
    <xf numFmtId="0" fontId="63" fillId="0" borderId="0" xfId="0" applyFont="1" applyFill="1" applyBorder="1" applyProtection="1">
      <protection locked="0"/>
    </xf>
    <xf numFmtId="0" fontId="63" fillId="0" borderId="27" xfId="0" applyFont="1" applyFill="1" applyBorder="1" applyAlignment="1" applyProtection="1">
      <protection locked="0" hidden="1"/>
    </xf>
    <xf numFmtId="0" fontId="63" fillId="0" borderId="28" xfId="0" applyFont="1" applyFill="1" applyBorder="1" applyAlignment="1" applyProtection="1">
      <protection locked="0" hidden="1"/>
    </xf>
    <xf numFmtId="0" fontId="63" fillId="0" borderId="29" xfId="0" applyFont="1" applyFill="1" applyBorder="1" applyAlignment="1" applyProtection="1">
      <protection locked="0" hidden="1"/>
    </xf>
    <xf numFmtId="0" fontId="63" fillId="0" borderId="30" xfId="0" applyFont="1" applyFill="1" applyBorder="1" applyAlignment="1" applyProtection="1">
      <protection locked="0" hidden="1"/>
    </xf>
    <xf numFmtId="0" fontId="63" fillId="0" borderId="34" xfId="0" applyFont="1" applyFill="1" applyBorder="1" applyProtection="1">
      <protection locked="0" hidden="1"/>
    </xf>
    <xf numFmtId="0" fontId="71" fillId="0" borderId="25" xfId="0" applyFont="1" applyFill="1" applyBorder="1" applyAlignment="1" applyProtection="1">
      <protection locked="0" hidden="1"/>
    </xf>
    <xf numFmtId="0" fontId="71" fillId="0" borderId="26" xfId="0" applyFont="1" applyFill="1" applyBorder="1" applyAlignment="1" applyProtection="1">
      <protection locked="0" hidden="1"/>
    </xf>
    <xf numFmtId="0" fontId="71" fillId="0" borderId="35" xfId="0" applyFont="1" applyFill="1" applyBorder="1" applyAlignment="1" applyProtection="1">
      <protection locked="0" hidden="1"/>
    </xf>
    <xf numFmtId="0" fontId="63" fillId="0" borderId="34" xfId="0" applyFont="1" applyFill="1" applyBorder="1" applyAlignment="1" applyProtection="1">
      <alignment horizontal="center"/>
      <protection locked="0" hidden="1"/>
    </xf>
    <xf numFmtId="0" fontId="63" fillId="0" borderId="38" xfId="0" applyFont="1" applyFill="1" applyBorder="1" applyAlignment="1" applyProtection="1">
      <alignment horizontal="center"/>
      <protection locked="0" hidden="1"/>
    </xf>
    <xf numFmtId="0" fontId="71" fillId="0" borderId="0" xfId="0" applyFont="1" applyFill="1" applyBorder="1" applyAlignment="1" applyProtection="1">
      <alignment horizontal="centerContinuous"/>
      <protection locked="0" hidden="1"/>
    </xf>
    <xf numFmtId="0" fontId="63" fillId="0" borderId="0" xfId="0" applyFont="1" applyFill="1" applyBorder="1" applyAlignment="1" applyProtection="1">
      <alignment horizontal="centerContinuous"/>
      <protection locked="0" hidden="1"/>
    </xf>
    <xf numFmtId="0" fontId="71" fillId="0" borderId="0" xfId="0" applyFont="1" applyFill="1" applyBorder="1" applyAlignment="1" applyProtection="1">
      <protection locked="0" hidden="1"/>
    </xf>
    <xf numFmtId="0" fontId="63" fillId="0" borderId="0" xfId="0" applyFont="1" applyFill="1" applyBorder="1" applyAlignment="1" applyProtection="1">
      <protection locked="0" hidden="1"/>
    </xf>
    <xf numFmtId="167" fontId="63" fillId="0" borderId="0" xfId="0" applyNumberFormat="1" applyFont="1" applyFill="1" applyBorder="1" applyAlignment="1" applyProtection="1">
      <alignment horizontal="center"/>
      <protection locked="0" hidden="1"/>
    </xf>
    <xf numFmtId="9" fontId="63" fillId="0" borderId="0" xfId="39" applyFont="1" applyFill="1" applyBorder="1" applyProtection="1">
      <protection locked="0" hidden="1"/>
    </xf>
    <xf numFmtId="0" fontId="63" fillId="0" borderId="39" xfId="0" applyFont="1" applyFill="1" applyBorder="1" applyProtection="1">
      <protection locked="0" hidden="1"/>
    </xf>
    <xf numFmtId="0" fontId="63" fillId="0" borderId="40" xfId="0" applyFont="1" applyFill="1" applyBorder="1" applyProtection="1">
      <protection locked="0" hidden="1"/>
    </xf>
    <xf numFmtId="0" fontId="63" fillId="0" borderId="41" xfId="0" applyFont="1" applyFill="1" applyBorder="1" applyProtection="1">
      <protection locked="0" hidden="1"/>
    </xf>
    <xf numFmtId="0" fontId="63" fillId="0" borderId="0" xfId="0" applyNumberFormat="1" applyFont="1" applyFill="1" applyAlignment="1" applyProtection="1">
      <alignment horizontal="center"/>
      <protection locked="0" hidden="1"/>
    </xf>
    <xf numFmtId="49" fontId="63" fillId="0" borderId="0" xfId="0" applyNumberFormat="1" applyFont="1" applyFill="1" applyBorder="1" applyAlignment="1" applyProtection="1">
      <alignment horizontal="center"/>
      <protection locked="0" hidden="1"/>
    </xf>
    <xf numFmtId="49" fontId="63" fillId="0" borderId="38" xfId="0" applyNumberFormat="1" applyFont="1" applyFill="1" applyBorder="1" applyAlignment="1" applyProtection="1">
      <alignment horizontal="center"/>
      <protection locked="0" hidden="1"/>
    </xf>
    <xf numFmtId="0" fontId="71" fillId="0" borderId="0" xfId="0" applyFont="1" applyFill="1" applyBorder="1" applyAlignment="1" applyProtection="1">
      <alignment vertical="center"/>
      <protection locked="0" hidden="1"/>
    </xf>
    <xf numFmtId="0" fontId="63" fillId="0" borderId="0" xfId="0" applyNumberFormat="1" applyFont="1" applyFill="1" applyBorder="1" applyAlignment="1" applyProtection="1">
      <alignment horizontal="center"/>
      <protection locked="0" hidden="1"/>
    </xf>
    <xf numFmtId="1" fontId="63" fillId="0" borderId="0" xfId="0" applyNumberFormat="1" applyFont="1" applyFill="1" applyBorder="1" applyAlignment="1" applyProtection="1">
      <alignment horizontal="center" vertical="center"/>
      <protection locked="0" hidden="1"/>
    </xf>
    <xf numFmtId="168" fontId="63" fillId="0" borderId="0" xfId="0" applyNumberFormat="1" applyFont="1" applyFill="1" applyBorder="1" applyAlignment="1" applyProtection="1">
      <alignment horizontal="center" vertical="center"/>
      <protection locked="0" hidden="1"/>
    </xf>
    <xf numFmtId="165" fontId="63" fillId="0" borderId="0" xfId="0" applyNumberFormat="1" applyFont="1" applyFill="1" applyBorder="1" applyAlignment="1" applyProtection="1">
      <alignment horizontal="center" vertical="center"/>
      <protection locked="0" hidden="1"/>
    </xf>
    <xf numFmtId="167" fontId="63" fillId="0" borderId="0" xfId="0" applyNumberFormat="1" applyFont="1" applyFill="1" applyBorder="1" applyAlignment="1" applyProtection="1">
      <alignment horizontal="center" vertical="center"/>
      <protection locked="0" hidden="1"/>
    </xf>
    <xf numFmtId="166" fontId="63" fillId="0" borderId="0" xfId="0" applyNumberFormat="1" applyFont="1" applyFill="1" applyBorder="1" applyAlignment="1" applyProtection="1">
      <alignment horizontal="center" vertical="center"/>
      <protection locked="0" hidden="1"/>
    </xf>
    <xf numFmtId="0" fontId="73" fillId="0" borderId="0" xfId="0" applyFont="1" applyFill="1" applyBorder="1" applyProtection="1">
      <protection locked="0" hidden="1"/>
    </xf>
    <xf numFmtId="14" fontId="63" fillId="0" borderId="0" xfId="0" applyNumberFormat="1" applyFont="1" applyFill="1" applyBorder="1" applyProtection="1">
      <protection locked="0" hidden="1"/>
    </xf>
    <xf numFmtId="0" fontId="63" fillId="0" borderId="12" xfId="0" applyFont="1" applyFill="1" applyBorder="1" applyProtection="1">
      <protection hidden="1"/>
    </xf>
    <xf numFmtId="0" fontId="63" fillId="0" borderId="0" xfId="0" applyFont="1" applyFill="1" applyBorder="1" applyAlignment="1" applyProtection="1">
      <alignment horizontal="left"/>
      <protection locked="0" hidden="1"/>
    </xf>
    <xf numFmtId="0" fontId="7" fillId="0" borderId="0" xfId="0" applyFont="1"/>
    <xf numFmtId="0" fontId="74" fillId="0" borderId="0" xfId="0" applyFont="1"/>
    <xf numFmtId="2" fontId="0" fillId="0" borderId="0" xfId="0" applyNumberFormat="1"/>
    <xf numFmtId="0" fontId="71" fillId="0" borderId="0" xfId="0" applyFont="1" applyFill="1" applyBorder="1" applyAlignment="1" applyProtection="1">
      <alignment horizontal="center" vertical="center"/>
      <protection locked="0" hidden="1"/>
    </xf>
    <xf numFmtId="0" fontId="23" fillId="0" borderId="19" xfId="0" applyFont="1" applyFill="1" applyBorder="1" applyAlignment="1" applyProtection="1">
      <alignment horizontal="left"/>
      <protection locked="0"/>
    </xf>
    <xf numFmtId="0" fontId="1" fillId="0" borderId="0" xfId="44" applyAlignment="1">
      <alignment horizontal="center"/>
    </xf>
    <xf numFmtId="0" fontId="43" fillId="0" borderId="10" xfId="0" applyFont="1" applyBorder="1" applyAlignment="1">
      <alignment horizontal="center"/>
    </xf>
    <xf numFmtId="0" fontId="23" fillId="18" borderId="26" xfId="0" applyFont="1" applyFill="1" applyBorder="1" applyAlignment="1" applyProtection="1">
      <alignment horizontal="center"/>
      <protection locked="0"/>
    </xf>
    <xf numFmtId="0" fontId="23" fillId="18" borderId="35" xfId="0" applyFont="1" applyFill="1" applyBorder="1" applyAlignment="1" applyProtection="1">
      <alignment horizontal="center"/>
      <protection locked="0"/>
    </xf>
    <xf numFmtId="0" fontId="7" fillId="0" borderId="39" xfId="0" applyFont="1" applyFill="1" applyBorder="1" applyAlignment="1" applyProtection="1">
      <alignment horizontal="left"/>
      <protection locked="0"/>
    </xf>
    <xf numFmtId="0" fontId="0" fillId="0" borderId="40" xfId="0" applyFill="1" applyBorder="1" applyAlignment="1" applyProtection="1">
      <alignment horizontal="left"/>
      <protection locked="0"/>
    </xf>
    <xf numFmtId="0" fontId="0" fillId="0" borderId="41" xfId="0" applyFill="1" applyBorder="1" applyAlignment="1" applyProtection="1">
      <alignment horizontal="left"/>
      <protection locked="0"/>
    </xf>
    <xf numFmtId="0" fontId="22" fillId="0" borderId="54" xfId="0" applyNumberFormat="1" applyFont="1" applyBorder="1" applyAlignment="1" applyProtection="1">
      <alignment horizontal="center" vertical="center"/>
      <protection locked="0" hidden="1"/>
    </xf>
    <xf numFmtId="0" fontId="22" fillId="0" borderId="55" xfId="0" applyNumberFormat="1" applyFont="1" applyBorder="1" applyAlignment="1" applyProtection="1">
      <alignment horizontal="center" vertical="center"/>
      <protection locked="0" hidden="1"/>
    </xf>
    <xf numFmtId="0" fontId="7" fillId="0" borderId="25" xfId="0" applyFont="1" applyBorder="1" applyAlignment="1" applyProtection="1">
      <alignment horizontal="center"/>
      <protection locked="0" hidden="1"/>
    </xf>
    <xf numFmtId="0" fontId="7" fillId="0" borderId="26" xfId="0" applyFont="1" applyBorder="1" applyAlignment="1" applyProtection="1">
      <alignment horizontal="center"/>
      <protection locked="0" hidden="1"/>
    </xf>
    <xf numFmtId="0" fontId="7" fillId="0" borderId="35" xfId="0" applyFont="1" applyBorder="1" applyAlignment="1" applyProtection="1">
      <alignment horizontal="center"/>
      <protection locked="0" hidden="1"/>
    </xf>
    <xf numFmtId="0" fontId="22" fillId="0" borderId="56" xfId="0" applyFont="1" applyBorder="1" applyAlignment="1" applyProtection="1">
      <alignment horizontal="center" vertical="center"/>
      <protection locked="0" hidden="1"/>
    </xf>
    <xf numFmtId="0" fontId="22" fillId="0" borderId="57" xfId="0" applyFont="1" applyBorder="1" applyAlignment="1" applyProtection="1">
      <alignment horizontal="center" vertical="center"/>
      <protection locked="0" hidden="1"/>
    </xf>
    <xf numFmtId="0" fontId="22" fillId="0" borderId="58" xfId="0" applyNumberFormat="1" applyFont="1" applyBorder="1" applyAlignment="1" applyProtection="1">
      <alignment horizontal="center" vertical="center"/>
      <protection locked="0" hidden="1"/>
    </xf>
    <xf numFmtId="0" fontId="71" fillId="0" borderId="0" xfId="0" applyNumberFormat="1" applyFont="1" applyFill="1" applyBorder="1" applyAlignment="1" applyProtection="1">
      <alignment horizontal="center" vertical="center"/>
      <protection locked="0" hidden="1"/>
    </xf>
    <xf numFmtId="0" fontId="71" fillId="0" borderId="0" xfId="0" applyFont="1" applyFill="1" applyBorder="1" applyAlignment="1" applyProtection="1">
      <alignment horizontal="center" vertical="center"/>
      <protection locked="0" hidden="1"/>
    </xf>
    <xf numFmtId="0" fontId="7" fillId="18" borderId="25" xfId="0" applyFont="1" applyFill="1" applyBorder="1" applyAlignment="1" applyProtection="1">
      <alignment horizontal="center"/>
      <protection locked="0"/>
    </xf>
    <xf numFmtId="0" fontId="63" fillId="33" borderId="0" xfId="0" applyFont="1" applyFill="1" applyBorder="1" applyAlignment="1">
      <alignment horizontal="left" vertical="center"/>
    </xf>
    <xf numFmtId="49" fontId="63" fillId="33" borderId="0" xfId="0" applyNumberFormat="1" applyFont="1" applyFill="1" applyBorder="1" applyAlignment="1">
      <alignment horizontal="left" vertical="center"/>
    </xf>
  </cellXfs>
  <cellStyles count="132">
    <cellStyle name="20% - Accent1" xfId="1" builtinId="30" customBuiltin="1"/>
    <cellStyle name="20% - Accent1 2" xfId="46"/>
    <cellStyle name="20% - Accent2" xfId="2" builtinId="34" customBuiltin="1"/>
    <cellStyle name="20% - Accent2 2" xfId="47"/>
    <cellStyle name="20% - Accent3" xfId="3" builtinId="38" customBuiltin="1"/>
    <cellStyle name="20% - Accent3 2" xfId="48"/>
    <cellStyle name="20% - Accent4" xfId="4" builtinId="42" customBuiltin="1"/>
    <cellStyle name="20% - Accent4 2" xfId="49"/>
    <cellStyle name="20% - Accent5" xfId="5" builtinId="46" customBuiltin="1"/>
    <cellStyle name="20% - Accent5 2" xfId="50"/>
    <cellStyle name="20% - Accent6" xfId="6" builtinId="50" customBuiltin="1"/>
    <cellStyle name="20% - Accent6 2" xfId="51"/>
    <cellStyle name="40% - Accent1" xfId="7" builtinId="31" customBuiltin="1"/>
    <cellStyle name="40% - Accent1 2" xfId="52"/>
    <cellStyle name="40% - Accent2" xfId="8" builtinId="35" customBuiltin="1"/>
    <cellStyle name="40% - Accent2 2" xfId="53"/>
    <cellStyle name="40% - Accent3" xfId="9" builtinId="39" customBuiltin="1"/>
    <cellStyle name="40% - Accent3 2" xfId="54"/>
    <cellStyle name="40% - Accent4" xfId="10" builtinId="43" customBuiltin="1"/>
    <cellStyle name="40% - Accent4 2" xfId="55"/>
    <cellStyle name="40% - Accent5" xfId="11" builtinId="47" customBuiltin="1"/>
    <cellStyle name="40% - Accent5 2" xfId="56"/>
    <cellStyle name="40% - Accent6" xfId="12" builtinId="51" customBuiltin="1"/>
    <cellStyle name="40% - Accent6 2" xfId="57"/>
    <cellStyle name="60% - Accent1" xfId="13" builtinId="32" customBuiltin="1"/>
    <cellStyle name="60% - Accent1 2" xfId="58"/>
    <cellStyle name="60% - Accent2" xfId="14" builtinId="36" customBuiltin="1"/>
    <cellStyle name="60% - Accent2 2" xfId="59"/>
    <cellStyle name="60% - Accent3" xfId="15" builtinId="40" customBuiltin="1"/>
    <cellStyle name="60% - Accent3 2" xfId="60"/>
    <cellStyle name="60% - Accent4" xfId="16" builtinId="44" customBuiltin="1"/>
    <cellStyle name="60% - Accent4 2" xfId="61"/>
    <cellStyle name="60% - Accent5" xfId="17" builtinId="48" customBuiltin="1"/>
    <cellStyle name="60% - Accent5 2" xfId="62"/>
    <cellStyle name="60% - Accent6" xfId="18" builtinId="52" customBuiltin="1"/>
    <cellStyle name="60% - Accent6 2" xfId="63"/>
    <cellStyle name="Accent1" xfId="19" builtinId="29" customBuiltin="1"/>
    <cellStyle name="Accent1 2" xfId="64"/>
    <cellStyle name="Accent2" xfId="20" builtinId="33" customBuiltin="1"/>
    <cellStyle name="Accent2 2" xfId="65"/>
    <cellStyle name="Accent3" xfId="21" builtinId="37" customBuiltin="1"/>
    <cellStyle name="Accent3 2" xfId="66"/>
    <cellStyle name="Accent4" xfId="22" builtinId="41" customBuiltin="1"/>
    <cellStyle name="Accent4 2" xfId="67"/>
    <cellStyle name="Accent5" xfId="23" builtinId="45" customBuiltin="1"/>
    <cellStyle name="Accent5 2" xfId="68"/>
    <cellStyle name="Accent6" xfId="24" builtinId="49" customBuiltin="1"/>
    <cellStyle name="Accent6 2" xfId="69"/>
    <cellStyle name="Bad" xfId="25" builtinId="27" customBuiltin="1"/>
    <cellStyle name="Bad 2" xfId="70"/>
    <cellStyle name="Calc Currency (0)" xfId="71"/>
    <cellStyle name="Calc Currency (2)" xfId="72"/>
    <cellStyle name="Calc Percent (0)" xfId="73"/>
    <cellStyle name="Calc Percent (1)" xfId="74"/>
    <cellStyle name="Calc Percent (2)" xfId="75"/>
    <cellStyle name="Calc Units (0)" xfId="76"/>
    <cellStyle name="Calc Units (1)" xfId="77"/>
    <cellStyle name="Calc Units (2)" xfId="78"/>
    <cellStyle name="Calculation" xfId="26" builtinId="22" customBuiltin="1"/>
    <cellStyle name="Calculation 2" xfId="79"/>
    <cellStyle name="Check Cell" xfId="27" builtinId="23" customBuiltin="1"/>
    <cellStyle name="Check Cell 2" xfId="80"/>
    <cellStyle name="Comma [00]" xfId="81"/>
    <cellStyle name="Currency [00]" xfId="82"/>
    <cellStyle name="Date Short" xfId="83"/>
    <cellStyle name="Enter Currency (0)" xfId="84"/>
    <cellStyle name="Enter Currency (2)" xfId="85"/>
    <cellStyle name="Enter Units (0)" xfId="86"/>
    <cellStyle name="Enter Units (1)" xfId="87"/>
    <cellStyle name="Enter Units (2)" xfId="88"/>
    <cellStyle name="Explanatory Text" xfId="28" builtinId="53" customBuiltin="1"/>
    <cellStyle name="Explanatory Text 2" xfId="89"/>
    <cellStyle name="F2" xfId="90"/>
    <cellStyle name="F3" xfId="91"/>
    <cellStyle name="F4" xfId="92"/>
    <cellStyle name="F5" xfId="93"/>
    <cellStyle name="F6" xfId="94"/>
    <cellStyle name="F7" xfId="95"/>
    <cellStyle name="F8" xfId="96"/>
    <cellStyle name="Good" xfId="29" builtinId="26" customBuiltin="1"/>
    <cellStyle name="Good 2" xfId="97"/>
    <cellStyle name="Grey" xfId="98"/>
    <cellStyle name="Header1" xfId="99"/>
    <cellStyle name="Header2" xfId="100"/>
    <cellStyle name="Heading 1" xfId="30" builtinId="16" customBuiltin="1"/>
    <cellStyle name="Heading 1 2" xfId="101"/>
    <cellStyle name="Heading 2" xfId="31" builtinId="17" customBuiltin="1"/>
    <cellStyle name="Heading 2 2" xfId="102"/>
    <cellStyle name="Heading 3" xfId="32" builtinId="18" customBuiltin="1"/>
    <cellStyle name="Heading 3 2" xfId="103"/>
    <cellStyle name="Heading 4" xfId="33" builtinId="19" customBuiltin="1"/>
    <cellStyle name="Heading 4 2" xfId="104"/>
    <cellStyle name="Input" xfId="34" builtinId="20" customBuiltin="1"/>
    <cellStyle name="Input [yellow]" xfId="105"/>
    <cellStyle name="Input 2" xfId="106"/>
    <cellStyle name="Input 3" xfId="107"/>
    <cellStyle name="Link Currency (0)" xfId="108"/>
    <cellStyle name="Link Currency (2)" xfId="109"/>
    <cellStyle name="Link Units (0)" xfId="110"/>
    <cellStyle name="Link Units (1)" xfId="111"/>
    <cellStyle name="Link Units (2)" xfId="112"/>
    <cellStyle name="Linked Cell" xfId="35" builtinId="24" customBuiltin="1"/>
    <cellStyle name="Linked Cell 2" xfId="113"/>
    <cellStyle name="Neutral" xfId="36" builtinId="28" customBuiltin="1"/>
    <cellStyle name="Neutral 2" xfId="114"/>
    <cellStyle name="Normal" xfId="0" builtinId="0"/>
    <cellStyle name="Normal - Style1" xfId="115"/>
    <cellStyle name="Normal 2" xfId="43"/>
    <cellStyle name="Normal 3" xfId="44"/>
    <cellStyle name="Normal 3 2" xfId="45"/>
    <cellStyle name="Note" xfId="37" builtinId="10" customBuiltin="1"/>
    <cellStyle name="Note 2" xfId="116"/>
    <cellStyle name="Output" xfId="38" builtinId="21" customBuiltin="1"/>
    <cellStyle name="Output 2" xfId="117"/>
    <cellStyle name="Percent" xfId="39" builtinId="5"/>
    <cellStyle name="Percent [0]" xfId="118"/>
    <cellStyle name="Percent [00]" xfId="119"/>
    <cellStyle name="Percent [2]" xfId="120"/>
    <cellStyle name="PrePop Currency (0)" xfId="121"/>
    <cellStyle name="PrePop Currency (2)" xfId="122"/>
    <cellStyle name="PrePop Units (0)" xfId="123"/>
    <cellStyle name="PrePop Units (1)" xfId="124"/>
    <cellStyle name="PrePop Units (2)" xfId="125"/>
    <cellStyle name="Text Indent A" xfId="126"/>
    <cellStyle name="Text Indent B" xfId="127"/>
    <cellStyle name="Text Indent C" xfId="128"/>
    <cellStyle name="Title" xfId="40" builtinId="15" customBuiltin="1"/>
    <cellStyle name="Title 2" xfId="129"/>
    <cellStyle name="Total" xfId="41" builtinId="25" customBuiltin="1"/>
    <cellStyle name="Total 2" xfId="130"/>
    <cellStyle name="Warning Text" xfId="42" builtinId="11" customBuiltin="1"/>
    <cellStyle name="Warning Text 2" xfId="1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38101</xdr:colOff>
      <xdr:row>4</xdr:row>
      <xdr:rowOff>57490</xdr:rowOff>
    </xdr:from>
    <xdr:to>
      <xdr:col>15</xdr:col>
      <xdr:colOff>563217</xdr:colOff>
      <xdr:row>16</xdr:row>
      <xdr:rowOff>328292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0304"/>
        <a:stretch>
          <a:fillRect/>
        </a:stretch>
      </xdr:blipFill>
      <xdr:spPr bwMode="auto">
        <a:xfrm>
          <a:off x="9226925" y="1458225"/>
          <a:ext cx="5466910" cy="307227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840441</xdr:colOff>
      <xdr:row>1</xdr:row>
      <xdr:rowOff>123266</xdr:rowOff>
    </xdr:from>
    <xdr:to>
      <xdr:col>12</xdr:col>
      <xdr:colOff>100853</xdr:colOff>
      <xdr:row>2</xdr:row>
      <xdr:rowOff>152828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7441" y="683560"/>
          <a:ext cx="1423147" cy="27609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123825</xdr:rowOff>
    </xdr:from>
    <xdr:to>
      <xdr:col>29</xdr:col>
      <xdr:colOff>485775</xdr:colOff>
      <xdr:row>19</xdr:row>
      <xdr:rowOff>66675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47675"/>
          <a:ext cx="18154650" cy="26955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19</xdr:col>
      <xdr:colOff>33410</xdr:colOff>
      <xdr:row>76</xdr:row>
      <xdr:rowOff>133350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8286750"/>
          <a:ext cx="11615810" cy="4343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171450</xdr:colOff>
      <xdr:row>20</xdr:row>
      <xdr:rowOff>38100</xdr:rowOff>
    </xdr:from>
    <xdr:to>
      <xdr:col>18</xdr:col>
      <xdr:colOff>482472</xdr:colOff>
      <xdr:row>46</xdr:row>
      <xdr:rowOff>133349</xdr:rowOff>
    </xdr:to>
    <xdr:pic>
      <xdr:nvPicPr>
        <xdr:cNvPr id="205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371850"/>
          <a:ext cx="11283822" cy="430529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81</xdr:row>
      <xdr:rowOff>114301</xdr:rowOff>
    </xdr:from>
    <xdr:to>
      <xdr:col>19</xdr:col>
      <xdr:colOff>47625</xdr:colOff>
      <xdr:row>114</xdr:row>
      <xdr:rowOff>95458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3515976"/>
          <a:ext cx="11630025" cy="5324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61"/>
  <sheetViews>
    <sheetView workbookViewId="0">
      <selection activeCell="P10" sqref="P10"/>
    </sheetView>
  </sheetViews>
  <sheetFormatPr defaultRowHeight="15"/>
  <cols>
    <col min="1" max="4" width="9.140625" style="74"/>
    <col min="5" max="5" width="10.42578125" style="74" customWidth="1"/>
    <col min="6" max="16384" width="9.140625" style="74"/>
  </cols>
  <sheetData>
    <row r="1" spans="1:48" s="107" customFormat="1" ht="58.5" customHeight="1">
      <c r="A1" s="107" t="s">
        <v>715</v>
      </c>
      <c r="B1" s="107" t="s">
        <v>403</v>
      </c>
      <c r="C1" s="107" t="s">
        <v>716</v>
      </c>
      <c r="D1" s="107" t="s">
        <v>717</v>
      </c>
      <c r="E1" s="107" t="s">
        <v>718</v>
      </c>
      <c r="F1" s="107" t="s">
        <v>719</v>
      </c>
      <c r="G1" s="107" t="s">
        <v>720</v>
      </c>
      <c r="H1" s="107" t="s">
        <v>721</v>
      </c>
      <c r="I1" s="107" t="s">
        <v>722</v>
      </c>
      <c r="J1" s="107" t="s">
        <v>723</v>
      </c>
      <c r="K1" s="107" t="s">
        <v>724</v>
      </c>
      <c r="L1" s="107" t="s">
        <v>725</v>
      </c>
      <c r="M1" s="107" t="s">
        <v>726</v>
      </c>
      <c r="N1" s="107" t="s">
        <v>727</v>
      </c>
      <c r="O1" s="107" t="s">
        <v>728</v>
      </c>
      <c r="P1" s="107" t="s">
        <v>729</v>
      </c>
      <c r="Q1" s="107" t="s">
        <v>730</v>
      </c>
      <c r="R1" s="107" t="s">
        <v>731</v>
      </c>
      <c r="S1" s="107" t="s">
        <v>732</v>
      </c>
      <c r="T1" s="107" t="s">
        <v>733</v>
      </c>
      <c r="U1" s="107" t="s">
        <v>734</v>
      </c>
      <c r="V1" s="107" t="s">
        <v>735</v>
      </c>
      <c r="W1" s="107" t="s">
        <v>736</v>
      </c>
      <c r="X1" s="107" t="s">
        <v>737</v>
      </c>
      <c r="Y1" s="107" t="s">
        <v>738</v>
      </c>
      <c r="Z1" s="107" t="s">
        <v>739</v>
      </c>
      <c r="AA1" s="107" t="s">
        <v>740</v>
      </c>
      <c r="AB1" s="107" t="s">
        <v>741</v>
      </c>
      <c r="AC1" s="107" t="s">
        <v>742</v>
      </c>
      <c r="AD1" s="107" t="s">
        <v>743</v>
      </c>
      <c r="AE1" s="107" t="s">
        <v>744</v>
      </c>
      <c r="AF1" s="107" t="s">
        <v>745</v>
      </c>
      <c r="AG1" s="107" t="s">
        <v>746</v>
      </c>
      <c r="AH1" s="107" t="s">
        <v>747</v>
      </c>
      <c r="AI1" s="107" t="s">
        <v>748</v>
      </c>
      <c r="AJ1" s="107" t="s">
        <v>749</v>
      </c>
    </row>
    <row r="2" spans="1:48">
      <c r="A2" s="73" t="s">
        <v>262</v>
      </c>
      <c r="B2" s="73" t="s">
        <v>613</v>
      </c>
      <c r="C2" s="73" t="s">
        <v>614</v>
      </c>
      <c r="D2" s="73" t="s">
        <v>263</v>
      </c>
      <c r="E2" s="73" t="s">
        <v>264</v>
      </c>
      <c r="F2" s="73" t="s">
        <v>265</v>
      </c>
      <c r="G2" s="73" t="s">
        <v>266</v>
      </c>
      <c r="H2" s="73" t="s">
        <v>267</v>
      </c>
      <c r="I2" s="73" t="s">
        <v>268</v>
      </c>
      <c r="J2" s="73" t="s">
        <v>106</v>
      </c>
      <c r="K2" s="73" t="s">
        <v>269</v>
      </c>
      <c r="L2" s="73" t="s">
        <v>152</v>
      </c>
      <c r="M2" s="73" t="s">
        <v>270</v>
      </c>
      <c r="N2" s="73" t="s">
        <v>271</v>
      </c>
      <c r="O2" s="73" t="s">
        <v>272</v>
      </c>
      <c r="P2" s="73" t="s">
        <v>692</v>
      </c>
      <c r="Q2" s="73" t="s">
        <v>602</v>
      </c>
      <c r="R2" s="73" t="s">
        <v>693</v>
      </c>
      <c r="S2" s="73" t="s">
        <v>694</v>
      </c>
      <c r="T2" s="73" t="s">
        <v>603</v>
      </c>
      <c r="U2" s="73" t="s">
        <v>695</v>
      </c>
      <c r="V2" s="73" t="s">
        <v>696</v>
      </c>
      <c r="W2" s="73" t="s">
        <v>697</v>
      </c>
      <c r="X2" s="73" t="s">
        <v>698</v>
      </c>
      <c r="Y2" s="73" t="s">
        <v>699</v>
      </c>
      <c r="Z2" s="73" t="s">
        <v>604</v>
      </c>
      <c r="AA2" s="73" t="s">
        <v>700</v>
      </c>
      <c r="AB2" s="73" t="s">
        <v>701</v>
      </c>
      <c r="AC2" s="73" t="s">
        <v>702</v>
      </c>
      <c r="AD2" s="73" t="s">
        <v>605</v>
      </c>
      <c r="AE2" s="73" t="s">
        <v>606</v>
      </c>
      <c r="AF2" s="73" t="s">
        <v>607</v>
      </c>
      <c r="AG2" s="73" t="s">
        <v>608</v>
      </c>
      <c r="AH2" s="73" t="s">
        <v>609</v>
      </c>
      <c r="AI2" s="73" t="s">
        <v>703</v>
      </c>
      <c r="AJ2" s="73" t="s">
        <v>704</v>
      </c>
    </row>
    <row r="3" spans="1:48" s="83" customFormat="1">
      <c r="A3" s="76" t="str">
        <f>IF(B5&amp;C5="62X","PR","")</f>
        <v>PR</v>
      </c>
      <c r="B3" s="76" t="str">
        <f>IF(B5&amp;C5="62X","O","")</f>
        <v>O</v>
      </c>
      <c r="C3" s="106" t="str">
        <f>IF(B5&amp;C5="62X","A","")</f>
        <v>A</v>
      </c>
      <c r="D3" s="76">
        <f>12*E5</f>
        <v>240</v>
      </c>
      <c r="E3" s="76" t="str">
        <f>IF(VLOOKUP($G$5,$Q$10:$U$45,5,FALSE)="B",VLOOKUP($D$5,$E$10:$G$39,2,FALSE),VLOOKUP($D$5,$E$10:$G$39,3,FALSE))&amp;INDEX($L$27:$O$31,MATCH(VLOOKUP(D5,$E$10:$F$39,2,FALSE),$K$27:$K$31,0),MATCH(VLOOKUP($K$5,$H$10:$I$41,2,FALSE),$L$26:$O$26,0))</f>
        <v>D4</v>
      </c>
      <c r="F3" s="76" t="s">
        <v>273</v>
      </c>
      <c r="G3" s="76">
        <f>VLOOKUP($K$5,$H$10:$J$41,3,FALSE)</f>
        <v>2</v>
      </c>
      <c r="H3" s="76" t="s">
        <v>273</v>
      </c>
      <c r="I3" s="76" t="s">
        <v>273</v>
      </c>
      <c r="J3" s="76" t="str">
        <f>VLOOKUP($M$5,$X$10:$AA$39,4,FALSE)</f>
        <v>BF</v>
      </c>
      <c r="K3" s="76" t="s">
        <v>273</v>
      </c>
      <c r="L3" s="76" t="str">
        <f>VLOOKUP($I$5,$AB$10:$AE$26,4,FALSE)</f>
        <v>B</v>
      </c>
      <c r="M3" s="76" t="s">
        <v>273</v>
      </c>
      <c r="N3" s="76" t="str">
        <f>VLOOKUP($H$5,$AF$10:$AI$39,3,FALSE)</f>
        <v>A</v>
      </c>
      <c r="O3" s="76" t="s">
        <v>273</v>
      </c>
      <c r="P3" s="76" t="s">
        <v>273</v>
      </c>
      <c r="Q3" s="76" t="str">
        <f>VLOOKUP($H$5,$AF$10:$AI$39,4,FALSE)</f>
        <v>AL</v>
      </c>
      <c r="R3" s="76" t="str">
        <f>VLOOKUP($G$5,$Q$10:$V$45,6,FALSE)</f>
        <v>B</v>
      </c>
      <c r="S3" s="76">
        <f>VLOOKUP($G$5,$Q$10:$W$45,7,FALSE)</f>
        <v>0</v>
      </c>
      <c r="T3" s="77">
        <f>VLOOKUP($G$5,$Q$10:$T$45,4,FALSE)</f>
        <v>0</v>
      </c>
      <c r="U3" s="76" t="s">
        <v>273</v>
      </c>
      <c r="V3" s="76" t="s">
        <v>273</v>
      </c>
      <c r="W3" s="76" t="str">
        <f>VLOOKUP($F$5,$AK$10:$AM$34,3,FALSE)</f>
        <v>E</v>
      </c>
      <c r="X3" s="76" t="s">
        <v>273</v>
      </c>
      <c r="Y3" s="76" t="s">
        <v>103</v>
      </c>
      <c r="Z3" s="108" t="str">
        <f>VLOOKUP($O$5,$AS$10:$AV$40,4,FALSE)</f>
        <v>BF</v>
      </c>
      <c r="AA3" s="76" t="s">
        <v>273</v>
      </c>
      <c r="AB3" s="76" t="str">
        <f>VLOOKUP($N$5,$AO$10:$AR$27,4,FALSE)</f>
        <v>B</v>
      </c>
      <c r="AC3" s="76" t="s">
        <v>273</v>
      </c>
      <c r="AD3" s="76" t="s">
        <v>383</v>
      </c>
      <c r="AE3" s="83" t="s">
        <v>383</v>
      </c>
      <c r="AF3" s="83" t="s">
        <v>383</v>
      </c>
      <c r="AG3" s="83" t="s">
        <v>383</v>
      </c>
      <c r="AH3" s="83" t="s">
        <v>383</v>
      </c>
      <c r="AI3" s="83" t="s">
        <v>273</v>
      </c>
      <c r="AJ3" s="83">
        <v>0</v>
      </c>
    </row>
    <row r="4" spans="1:48">
      <c r="B4" s="74">
        <v>12</v>
      </c>
      <c r="C4" s="74">
        <v>3</v>
      </c>
      <c r="D4" s="74">
        <v>4</v>
      </c>
      <c r="E4" s="74">
        <v>56</v>
      </c>
      <c r="F4" s="74">
        <v>7</v>
      </c>
      <c r="G4" s="74">
        <v>8</v>
      </c>
      <c r="H4" s="74">
        <v>9</v>
      </c>
      <c r="I4" s="74">
        <v>10</v>
      </c>
      <c r="J4" s="74">
        <v>11</v>
      </c>
      <c r="K4" s="74">
        <v>12</v>
      </c>
      <c r="L4" s="74">
        <v>13</v>
      </c>
      <c r="M4" s="74">
        <v>14</v>
      </c>
      <c r="N4" s="74">
        <v>15</v>
      </c>
      <c r="O4" s="74">
        <v>16</v>
      </c>
      <c r="P4" s="74">
        <v>17</v>
      </c>
      <c r="Q4" s="74">
        <v>18</v>
      </c>
    </row>
    <row r="5" spans="1:48">
      <c r="B5" s="75" t="str">
        <f>Sheet2!A4</f>
        <v>62</v>
      </c>
      <c r="C5" s="75" t="str">
        <f>Sheet2!B4</f>
        <v>X</v>
      </c>
      <c r="D5" s="75" t="str">
        <f>Sheet2!C4</f>
        <v>D</v>
      </c>
      <c r="E5" s="75" t="str">
        <f>Sheet2!D4</f>
        <v>20</v>
      </c>
      <c r="F5" s="75" t="str">
        <f>Sheet2!E4</f>
        <v>E</v>
      </c>
      <c r="G5" s="75" t="str">
        <f>Sheet2!F4</f>
        <v>-</v>
      </c>
      <c r="H5" s="75" t="str">
        <f>Sheet2!G4</f>
        <v>A</v>
      </c>
      <c r="I5" s="75" t="str">
        <f>Sheet2!H4</f>
        <v>B</v>
      </c>
      <c r="J5" s="75" t="str">
        <f>Sheet2!I4</f>
        <v>-</v>
      </c>
      <c r="K5" s="75" t="str">
        <f>Sheet2!J4</f>
        <v>A</v>
      </c>
      <c r="L5" s="75" t="str">
        <f>Sheet2!K4</f>
        <v>F</v>
      </c>
      <c r="M5" s="75" t="str">
        <f>Sheet2!L4</f>
        <v>T</v>
      </c>
      <c r="N5" s="75" t="str">
        <f>Sheet2!M4</f>
        <v>B</v>
      </c>
      <c r="O5" s="75" t="str">
        <f>Sheet2!N4</f>
        <v>T</v>
      </c>
      <c r="P5" s="75" t="str">
        <f>Sheet2!O4</f>
        <v>-</v>
      </c>
      <c r="Q5" s="75" t="str">
        <f>Sheet2!P4</f>
        <v>-</v>
      </c>
    </row>
    <row r="6" spans="1:48">
      <c r="T6" s="78" t="str">
        <f>CONCATENATE(TEXT(A3,"00"),B3,C3,TEXT(D3,"000"),TEXT(E3,"00"),F3,G3,H3,I3,TEXT(J3,"00"),K3,L3,M3,N3,O3,P3,TEXT(Q3,"00"),R3,S3,TEXT(T3,"00"),U3,V3,W3,X3,Y3,TEXT(Z3,"00"),AA3,AB3,AC3,AD3,AE3,AF3,AG3,AH3,AI3,AJ3)</f>
        <v>PROA240D4*2**BF*B*A**ALB000**E*EBF*B************0</v>
      </c>
      <c r="X6" s="74">
        <f>LEN(T6)</f>
        <v>49</v>
      </c>
    </row>
    <row r="7" spans="1:48">
      <c r="T7" s="75"/>
    </row>
    <row r="8" spans="1:48">
      <c r="T8" s="75"/>
    </row>
    <row r="9" spans="1:48">
      <c r="C9" s="229" t="s">
        <v>705</v>
      </c>
      <c r="D9" s="229"/>
      <c r="E9" s="229" t="s">
        <v>706</v>
      </c>
      <c r="F9" s="229"/>
      <c r="G9" s="229"/>
      <c r="H9" s="229" t="s">
        <v>707</v>
      </c>
      <c r="I9" s="229"/>
      <c r="J9" s="74" t="s">
        <v>440</v>
      </c>
      <c r="Q9" s="229" t="s">
        <v>7</v>
      </c>
      <c r="R9" s="229"/>
      <c r="S9" s="229"/>
      <c r="T9" s="229"/>
      <c r="U9" s="79" t="s">
        <v>711</v>
      </c>
      <c r="V9" s="75">
        <v>24</v>
      </c>
      <c r="W9" s="75">
        <v>25</v>
      </c>
      <c r="X9" s="229" t="s">
        <v>708</v>
      </c>
      <c r="Y9" s="229"/>
      <c r="Z9" s="229"/>
      <c r="AA9" s="229"/>
      <c r="AB9" s="229" t="s">
        <v>709</v>
      </c>
      <c r="AC9" s="229"/>
      <c r="AD9" s="229"/>
      <c r="AE9" s="229"/>
      <c r="AF9" s="229" t="s">
        <v>710</v>
      </c>
      <c r="AG9" s="229"/>
      <c r="AH9" s="229"/>
      <c r="AI9" s="229"/>
      <c r="AK9" s="229" t="s">
        <v>4</v>
      </c>
      <c r="AL9" s="229"/>
      <c r="AM9" s="229"/>
      <c r="AO9" s="229" t="s">
        <v>712</v>
      </c>
      <c r="AP9" s="229"/>
      <c r="AQ9" s="229"/>
      <c r="AR9" s="229"/>
      <c r="AS9" s="229" t="s">
        <v>713</v>
      </c>
      <c r="AT9" s="229"/>
      <c r="AU9" s="229"/>
      <c r="AV9" s="229"/>
    </row>
    <row r="10" spans="1:48">
      <c r="C10" s="62" t="s">
        <v>421</v>
      </c>
      <c r="D10" s="63">
        <v>36</v>
      </c>
      <c r="E10" s="80" t="s">
        <v>58</v>
      </c>
      <c r="F10" s="80" t="s">
        <v>58</v>
      </c>
      <c r="G10" s="74" t="s">
        <v>58</v>
      </c>
      <c r="H10" s="81" t="s">
        <v>58</v>
      </c>
      <c r="I10" s="82" t="s">
        <v>442</v>
      </c>
      <c r="J10" s="74">
        <v>2</v>
      </c>
      <c r="Q10" s="87" t="s">
        <v>402</v>
      </c>
      <c r="R10" s="88"/>
      <c r="S10" s="88"/>
      <c r="T10" s="77">
        <v>0</v>
      </c>
      <c r="U10" s="90" t="s">
        <v>85</v>
      </c>
      <c r="V10" s="90" t="s">
        <v>85</v>
      </c>
      <c r="W10" s="90">
        <v>0</v>
      </c>
      <c r="X10" s="84" t="s">
        <v>58</v>
      </c>
      <c r="Y10" s="85" t="s">
        <v>406</v>
      </c>
      <c r="Z10" s="86" t="s">
        <v>407</v>
      </c>
      <c r="AA10" s="74" t="s">
        <v>127</v>
      </c>
      <c r="AB10" s="66" t="s">
        <v>58</v>
      </c>
      <c r="AC10" s="72">
        <v>1</v>
      </c>
      <c r="AD10" s="72" t="s">
        <v>441</v>
      </c>
      <c r="AE10" s="74" t="s">
        <v>58</v>
      </c>
      <c r="AF10" s="59" t="s">
        <v>58</v>
      </c>
      <c r="AG10" s="60">
        <v>4</v>
      </c>
      <c r="AH10" s="74" t="s">
        <v>58</v>
      </c>
      <c r="AI10" s="74" t="s">
        <v>396</v>
      </c>
      <c r="AJ10" s="98"/>
      <c r="AK10" s="87" t="s">
        <v>402</v>
      </c>
      <c r="AL10" s="102">
        <v>0</v>
      </c>
      <c r="AM10" s="101">
        <v>0</v>
      </c>
      <c r="AO10" s="87" t="s">
        <v>402</v>
      </c>
      <c r="AP10" s="102">
        <v>0</v>
      </c>
      <c r="AQ10" s="101">
        <v>0</v>
      </c>
      <c r="AR10" s="74">
        <v>0</v>
      </c>
      <c r="AS10" s="87" t="s">
        <v>402</v>
      </c>
      <c r="AT10" s="102">
        <v>0</v>
      </c>
      <c r="AU10" s="101">
        <v>0</v>
      </c>
      <c r="AV10" s="105">
        <v>0</v>
      </c>
    </row>
    <row r="11" spans="1:48">
      <c r="C11" s="62" t="s">
        <v>423</v>
      </c>
      <c r="D11" s="63">
        <v>48</v>
      </c>
      <c r="E11" s="80" t="s">
        <v>85</v>
      </c>
      <c r="F11" s="80" t="s">
        <v>85</v>
      </c>
      <c r="G11" s="74" t="s">
        <v>61</v>
      </c>
      <c r="H11" s="81" t="s">
        <v>85</v>
      </c>
      <c r="I11" s="82" t="s">
        <v>442</v>
      </c>
      <c r="J11" s="74">
        <v>2</v>
      </c>
      <c r="Q11" s="87" t="s">
        <v>58</v>
      </c>
      <c r="R11" s="88">
        <v>75</v>
      </c>
      <c r="S11" s="88" t="s">
        <v>404</v>
      </c>
      <c r="T11" s="89" t="s">
        <v>9</v>
      </c>
      <c r="U11" s="90" t="s">
        <v>85</v>
      </c>
      <c r="V11" s="90" t="s">
        <v>85</v>
      </c>
      <c r="W11" s="90">
        <v>0</v>
      </c>
      <c r="X11" s="84" t="s">
        <v>85</v>
      </c>
      <c r="Y11" s="85" t="s">
        <v>408</v>
      </c>
      <c r="Z11" s="86" t="s">
        <v>407</v>
      </c>
      <c r="AA11" s="74" t="s">
        <v>129</v>
      </c>
      <c r="AB11" s="66" t="s">
        <v>85</v>
      </c>
      <c r="AC11" s="72">
        <v>1.5</v>
      </c>
      <c r="AD11" s="72" t="s">
        <v>441</v>
      </c>
      <c r="AE11" s="74" t="s">
        <v>85</v>
      </c>
      <c r="AF11" s="59" t="s">
        <v>85</v>
      </c>
      <c r="AG11" s="60">
        <v>4</v>
      </c>
      <c r="AH11" s="74" t="s">
        <v>58</v>
      </c>
      <c r="AI11" s="74" t="s">
        <v>397</v>
      </c>
      <c r="AJ11" s="99"/>
      <c r="AK11" s="65" t="s">
        <v>58</v>
      </c>
      <c r="AL11" s="71">
        <v>244</v>
      </c>
      <c r="AM11" s="100" t="s">
        <v>58</v>
      </c>
      <c r="AO11" s="66" t="s">
        <v>58</v>
      </c>
      <c r="AP11" s="72">
        <v>1</v>
      </c>
      <c r="AQ11" s="72" t="s">
        <v>441</v>
      </c>
      <c r="AR11" s="74" t="s">
        <v>58</v>
      </c>
      <c r="AS11" s="84" t="s">
        <v>58</v>
      </c>
      <c r="AT11" s="85" t="s">
        <v>406</v>
      </c>
      <c r="AU11" s="86" t="s">
        <v>407</v>
      </c>
      <c r="AV11" s="74" t="s">
        <v>127</v>
      </c>
    </row>
    <row r="12" spans="1:48">
      <c r="C12" s="62" t="s">
        <v>425</v>
      </c>
      <c r="D12" s="63">
        <v>60</v>
      </c>
      <c r="E12" s="80" t="s">
        <v>56</v>
      </c>
      <c r="F12" s="80" t="s">
        <v>56</v>
      </c>
      <c r="G12" s="74" t="s">
        <v>66</v>
      </c>
      <c r="H12" s="81" t="s">
        <v>56</v>
      </c>
      <c r="I12" s="82" t="s">
        <v>443</v>
      </c>
      <c r="J12" s="74">
        <v>2</v>
      </c>
      <c r="Q12" s="87" t="s">
        <v>85</v>
      </c>
      <c r="R12" s="88">
        <v>100</v>
      </c>
      <c r="S12" s="88" t="s">
        <v>404</v>
      </c>
      <c r="T12" s="89" t="s">
        <v>26</v>
      </c>
      <c r="U12" s="90" t="s">
        <v>85</v>
      </c>
      <c r="V12" s="90" t="s">
        <v>85</v>
      </c>
      <c r="W12" s="90">
        <v>0</v>
      </c>
      <c r="X12" s="84" t="s">
        <v>56</v>
      </c>
      <c r="Y12" s="85" t="s">
        <v>409</v>
      </c>
      <c r="Z12" s="86" t="s">
        <v>407</v>
      </c>
      <c r="AA12" s="74" t="s">
        <v>130</v>
      </c>
      <c r="AB12" s="66" t="s">
        <v>56</v>
      </c>
      <c r="AC12" s="72">
        <v>2</v>
      </c>
      <c r="AD12" s="72" t="s">
        <v>441</v>
      </c>
      <c r="AE12" s="74" t="s">
        <v>56</v>
      </c>
      <c r="AF12" s="59" t="s">
        <v>56</v>
      </c>
      <c r="AG12" s="60">
        <v>4</v>
      </c>
      <c r="AH12" s="74" t="s">
        <v>58</v>
      </c>
      <c r="AI12" s="74" t="s">
        <v>396</v>
      </c>
      <c r="AJ12" s="99"/>
      <c r="AK12" s="65" t="s">
        <v>85</v>
      </c>
      <c r="AL12" s="71">
        <v>324</v>
      </c>
      <c r="AM12" s="100" t="s">
        <v>85</v>
      </c>
      <c r="AO12" s="66" t="s">
        <v>85</v>
      </c>
      <c r="AP12" s="72">
        <v>1.5</v>
      </c>
      <c r="AQ12" s="72" t="s">
        <v>441</v>
      </c>
      <c r="AR12" s="74" t="s">
        <v>85</v>
      </c>
      <c r="AS12" s="84" t="s">
        <v>85</v>
      </c>
      <c r="AT12" s="85" t="s">
        <v>408</v>
      </c>
      <c r="AU12" s="86" t="s">
        <v>407</v>
      </c>
      <c r="AV12" s="74" t="s">
        <v>129</v>
      </c>
    </row>
    <row r="13" spans="1:48">
      <c r="C13" s="62" t="s">
        <v>427</v>
      </c>
      <c r="D13" s="63">
        <v>72</v>
      </c>
      <c r="E13" s="80" t="s">
        <v>86</v>
      </c>
      <c r="F13" s="80" t="s">
        <v>86</v>
      </c>
      <c r="G13" s="74" t="s">
        <v>60</v>
      </c>
      <c r="H13" s="81" t="s">
        <v>86</v>
      </c>
      <c r="I13" s="82" t="s">
        <v>443</v>
      </c>
      <c r="J13" s="74">
        <v>2</v>
      </c>
      <c r="Q13" s="87" t="s">
        <v>56</v>
      </c>
      <c r="R13" s="88">
        <v>150</v>
      </c>
      <c r="S13" s="88" t="s">
        <v>404</v>
      </c>
      <c r="T13" s="89" t="s">
        <v>201</v>
      </c>
      <c r="U13" s="90" t="s">
        <v>85</v>
      </c>
      <c r="V13" s="90" t="s">
        <v>85</v>
      </c>
      <c r="W13" s="90">
        <v>0</v>
      </c>
      <c r="X13" s="84" t="s">
        <v>86</v>
      </c>
      <c r="Y13" s="85" t="s">
        <v>410</v>
      </c>
      <c r="Z13" s="86" t="s">
        <v>407</v>
      </c>
      <c r="AA13" s="74" t="s">
        <v>131</v>
      </c>
      <c r="AB13" s="66" t="s">
        <v>86</v>
      </c>
      <c r="AC13" s="72">
        <v>3</v>
      </c>
      <c r="AD13" s="72" t="s">
        <v>441</v>
      </c>
      <c r="AE13" s="74" t="s">
        <v>86</v>
      </c>
      <c r="AF13" s="59" t="s">
        <v>86</v>
      </c>
      <c r="AG13" s="60">
        <v>4</v>
      </c>
      <c r="AH13" s="74" t="s">
        <v>58</v>
      </c>
      <c r="AI13" s="74" t="s">
        <v>397</v>
      </c>
      <c r="AJ13" s="99"/>
      <c r="AK13" s="65" t="s">
        <v>56</v>
      </c>
      <c r="AL13" s="71">
        <v>364</v>
      </c>
      <c r="AM13" s="100" t="s">
        <v>56</v>
      </c>
      <c r="AO13" s="66" t="s">
        <v>56</v>
      </c>
      <c r="AP13" s="72">
        <v>2</v>
      </c>
      <c r="AQ13" s="72" t="s">
        <v>441</v>
      </c>
      <c r="AR13" s="74" t="s">
        <v>56</v>
      </c>
      <c r="AS13" s="84" t="s">
        <v>56</v>
      </c>
      <c r="AT13" s="85" t="s">
        <v>409</v>
      </c>
      <c r="AU13" s="86" t="s">
        <v>407</v>
      </c>
      <c r="AV13" s="74" t="s">
        <v>130</v>
      </c>
    </row>
    <row r="14" spans="1:48">
      <c r="C14" s="62" t="s">
        <v>429</v>
      </c>
      <c r="D14" s="63">
        <v>84</v>
      </c>
      <c r="E14" s="80" t="s">
        <v>61</v>
      </c>
      <c r="F14" s="91" t="s">
        <v>103</v>
      </c>
      <c r="G14" s="74" t="s">
        <v>153</v>
      </c>
      <c r="H14" s="81" t="s">
        <v>103</v>
      </c>
      <c r="I14" s="82" t="s">
        <v>444</v>
      </c>
      <c r="J14" s="74">
        <v>2</v>
      </c>
      <c r="Q14" s="87" t="s">
        <v>86</v>
      </c>
      <c r="R14" s="88">
        <v>200</v>
      </c>
      <c r="S14" s="88" t="s">
        <v>404</v>
      </c>
      <c r="T14" s="92" t="s">
        <v>202</v>
      </c>
      <c r="U14" s="90" t="s">
        <v>85</v>
      </c>
      <c r="V14" s="90" t="s">
        <v>85</v>
      </c>
      <c r="W14" s="90">
        <v>0</v>
      </c>
      <c r="X14" s="84" t="s">
        <v>103</v>
      </c>
      <c r="Y14" s="85" t="s">
        <v>411</v>
      </c>
      <c r="Z14" s="86" t="s">
        <v>407</v>
      </c>
      <c r="AA14" s="74" t="s">
        <v>132</v>
      </c>
      <c r="AB14" s="66" t="s">
        <v>103</v>
      </c>
      <c r="AC14" s="72">
        <v>5</v>
      </c>
      <c r="AD14" s="72" t="s">
        <v>441</v>
      </c>
      <c r="AE14" s="74" t="s">
        <v>103</v>
      </c>
      <c r="AF14" s="59" t="s">
        <v>103</v>
      </c>
      <c r="AG14" s="60">
        <v>4</v>
      </c>
      <c r="AH14" s="74" t="s">
        <v>58</v>
      </c>
      <c r="AI14" s="74" t="s">
        <v>143</v>
      </c>
      <c r="AJ14" s="99"/>
      <c r="AK14" s="65" t="s">
        <v>86</v>
      </c>
      <c r="AL14" s="71">
        <v>424</v>
      </c>
      <c r="AM14" s="92" t="s">
        <v>86</v>
      </c>
      <c r="AO14" s="66" t="s">
        <v>86</v>
      </c>
      <c r="AP14" s="72">
        <v>3</v>
      </c>
      <c r="AQ14" s="72" t="s">
        <v>441</v>
      </c>
      <c r="AR14" s="74" t="s">
        <v>86</v>
      </c>
      <c r="AS14" s="84" t="s">
        <v>86</v>
      </c>
      <c r="AT14" s="85" t="s">
        <v>410</v>
      </c>
      <c r="AU14" s="86" t="s">
        <v>407</v>
      </c>
      <c r="AV14" s="74" t="s">
        <v>131</v>
      </c>
    </row>
    <row r="15" spans="1:48">
      <c r="C15" s="62" t="s">
        <v>431</v>
      </c>
      <c r="D15" s="63">
        <v>96</v>
      </c>
      <c r="E15" s="80" t="s">
        <v>66</v>
      </c>
      <c r="F15" s="80" t="s">
        <v>58</v>
      </c>
      <c r="G15" s="74" t="s">
        <v>58</v>
      </c>
      <c r="H15" s="81" t="s">
        <v>61</v>
      </c>
      <c r="I15" s="82" t="s">
        <v>444</v>
      </c>
      <c r="J15" s="74">
        <v>2</v>
      </c>
      <c r="Q15" s="87" t="s">
        <v>103</v>
      </c>
      <c r="R15" s="88">
        <v>250</v>
      </c>
      <c r="S15" s="88" t="s">
        <v>404</v>
      </c>
      <c r="T15" s="92" t="s">
        <v>203</v>
      </c>
      <c r="U15" s="90" t="s">
        <v>85</v>
      </c>
      <c r="V15" s="90" t="s">
        <v>85</v>
      </c>
      <c r="W15" s="90">
        <v>0</v>
      </c>
      <c r="X15" s="84" t="s">
        <v>61</v>
      </c>
      <c r="Y15" s="85" t="s">
        <v>412</v>
      </c>
      <c r="Z15" s="86" t="s">
        <v>407</v>
      </c>
      <c r="AA15" s="74" t="s">
        <v>133</v>
      </c>
      <c r="AB15" s="66" t="s">
        <v>61</v>
      </c>
      <c r="AC15" s="72">
        <v>7.5</v>
      </c>
      <c r="AD15" s="72" t="s">
        <v>441</v>
      </c>
      <c r="AE15" s="74" t="s">
        <v>61</v>
      </c>
      <c r="AF15" s="59" t="s">
        <v>61</v>
      </c>
      <c r="AG15" s="60">
        <v>6</v>
      </c>
      <c r="AH15" s="74" t="s">
        <v>85</v>
      </c>
      <c r="AI15" s="74" t="s">
        <v>396</v>
      </c>
      <c r="AJ15" s="99"/>
      <c r="AK15" s="65" t="s">
        <v>103</v>
      </c>
      <c r="AL15" s="71">
        <v>484</v>
      </c>
      <c r="AM15" s="92" t="s">
        <v>103</v>
      </c>
      <c r="AO15" s="66" t="s">
        <v>103</v>
      </c>
      <c r="AP15" s="72">
        <v>5</v>
      </c>
      <c r="AQ15" s="72" t="s">
        <v>441</v>
      </c>
      <c r="AR15" s="74" t="s">
        <v>103</v>
      </c>
      <c r="AS15" s="84" t="s">
        <v>103</v>
      </c>
      <c r="AT15" s="85" t="s">
        <v>411</v>
      </c>
      <c r="AU15" s="86" t="s">
        <v>407</v>
      </c>
      <c r="AV15" s="74" t="s">
        <v>132</v>
      </c>
    </row>
    <row r="16" spans="1:48">
      <c r="C16" s="64">
        <v>10</v>
      </c>
      <c r="D16" s="63">
        <v>120</v>
      </c>
      <c r="E16" s="80" t="s">
        <v>60</v>
      </c>
      <c r="F16" s="80" t="s">
        <v>85</v>
      </c>
      <c r="G16" s="74" t="s">
        <v>61</v>
      </c>
      <c r="H16" s="81" t="s">
        <v>66</v>
      </c>
      <c r="I16" s="82" t="s">
        <v>445</v>
      </c>
      <c r="J16" s="74">
        <v>2</v>
      </c>
      <c r="Q16" s="87" t="s">
        <v>61</v>
      </c>
      <c r="R16" s="88">
        <v>300</v>
      </c>
      <c r="S16" s="88" t="s">
        <v>404</v>
      </c>
      <c r="T16" s="92" t="s">
        <v>204</v>
      </c>
      <c r="U16" s="90" t="s">
        <v>85</v>
      </c>
      <c r="V16" s="90" t="s">
        <v>85</v>
      </c>
      <c r="W16" s="90">
        <v>0</v>
      </c>
      <c r="X16" s="84" t="s">
        <v>66</v>
      </c>
      <c r="Y16" s="85" t="s">
        <v>414</v>
      </c>
      <c r="Z16" s="86" t="s">
        <v>407</v>
      </c>
      <c r="AA16" s="74" t="s">
        <v>134</v>
      </c>
      <c r="AB16" s="66" t="s">
        <v>66</v>
      </c>
      <c r="AC16" s="72">
        <v>10</v>
      </c>
      <c r="AD16" s="72" t="s">
        <v>441</v>
      </c>
      <c r="AE16" s="74" t="s">
        <v>66</v>
      </c>
      <c r="AF16" s="59" t="s">
        <v>66</v>
      </c>
      <c r="AG16" s="60">
        <v>6</v>
      </c>
      <c r="AH16" s="74" t="s">
        <v>85</v>
      </c>
      <c r="AI16" s="74" t="s">
        <v>397</v>
      </c>
      <c r="AJ16" s="99"/>
      <c r="AK16" s="65" t="s">
        <v>61</v>
      </c>
      <c r="AL16" s="71">
        <v>486</v>
      </c>
      <c r="AM16" s="92" t="s">
        <v>61</v>
      </c>
      <c r="AO16" s="66" t="s">
        <v>61</v>
      </c>
      <c r="AP16" s="72">
        <v>7.5</v>
      </c>
      <c r="AQ16" s="72" t="s">
        <v>441</v>
      </c>
      <c r="AR16" s="74" t="s">
        <v>61</v>
      </c>
      <c r="AS16" s="84" t="s">
        <v>61</v>
      </c>
      <c r="AT16" s="85" t="s">
        <v>412</v>
      </c>
      <c r="AU16" s="86" t="s">
        <v>407</v>
      </c>
      <c r="AV16" s="74" t="s">
        <v>133</v>
      </c>
    </row>
    <row r="17" spans="3:48">
      <c r="C17" s="64">
        <v>12</v>
      </c>
      <c r="D17" s="63">
        <v>150</v>
      </c>
      <c r="E17" s="80" t="s">
        <v>413</v>
      </c>
      <c r="F17" s="80" t="s">
        <v>56</v>
      </c>
      <c r="G17" s="74" t="s">
        <v>66</v>
      </c>
      <c r="H17" s="81" t="s">
        <v>60</v>
      </c>
      <c r="I17" s="82" t="s">
        <v>445</v>
      </c>
      <c r="J17" s="74">
        <v>2</v>
      </c>
      <c r="Q17" s="87" t="s">
        <v>66</v>
      </c>
      <c r="R17" s="88">
        <v>350</v>
      </c>
      <c r="S17" s="88" t="s">
        <v>404</v>
      </c>
      <c r="T17" s="92" t="s">
        <v>205</v>
      </c>
      <c r="U17" s="90" t="s">
        <v>85</v>
      </c>
      <c r="V17" s="90" t="s">
        <v>85</v>
      </c>
      <c r="W17" s="90">
        <v>0</v>
      </c>
      <c r="X17" s="84" t="s">
        <v>60</v>
      </c>
      <c r="Y17" s="85" t="s">
        <v>416</v>
      </c>
      <c r="Z17" s="86" t="s">
        <v>407</v>
      </c>
      <c r="AA17" s="74" t="s">
        <v>399</v>
      </c>
      <c r="AB17" s="66" t="s">
        <v>60</v>
      </c>
      <c r="AC17" s="72">
        <v>15</v>
      </c>
      <c r="AD17" s="72" t="s">
        <v>441</v>
      </c>
      <c r="AE17" s="74" t="s">
        <v>60</v>
      </c>
      <c r="AF17" s="59" t="s">
        <v>60</v>
      </c>
      <c r="AG17" s="60">
        <v>6</v>
      </c>
      <c r="AH17" s="74" t="s">
        <v>85</v>
      </c>
      <c r="AI17" s="74" t="s">
        <v>396</v>
      </c>
      <c r="AJ17" s="99"/>
      <c r="AK17" s="65" t="s">
        <v>66</v>
      </c>
      <c r="AL17" s="71">
        <v>544</v>
      </c>
      <c r="AM17" s="92" t="s">
        <v>66</v>
      </c>
      <c r="AO17" s="66" t="s">
        <v>66</v>
      </c>
      <c r="AP17" s="72">
        <v>10</v>
      </c>
      <c r="AQ17" s="72" t="s">
        <v>441</v>
      </c>
      <c r="AR17" s="74" t="s">
        <v>66</v>
      </c>
      <c r="AS17" s="84" t="s">
        <v>66</v>
      </c>
      <c r="AT17" s="85" t="s">
        <v>414</v>
      </c>
      <c r="AU17" s="86" t="s">
        <v>407</v>
      </c>
      <c r="AV17" s="74" t="s">
        <v>134</v>
      </c>
    </row>
    <row r="18" spans="3:48">
      <c r="C18" s="64">
        <v>15</v>
      </c>
      <c r="D18" s="63">
        <v>180</v>
      </c>
      <c r="E18" s="80" t="s">
        <v>153</v>
      </c>
      <c r="F18" s="80" t="s">
        <v>86</v>
      </c>
      <c r="G18" s="74" t="s">
        <v>60</v>
      </c>
      <c r="H18" s="81" t="s">
        <v>413</v>
      </c>
      <c r="I18" s="82" t="s">
        <v>442</v>
      </c>
      <c r="J18" s="74">
        <v>3</v>
      </c>
      <c r="Q18" s="87" t="s">
        <v>60</v>
      </c>
      <c r="R18" s="88">
        <v>400</v>
      </c>
      <c r="S18" s="88" t="s">
        <v>404</v>
      </c>
      <c r="T18" s="92" t="s">
        <v>206</v>
      </c>
      <c r="U18" s="90" t="s">
        <v>85</v>
      </c>
      <c r="V18" s="90" t="s">
        <v>85</v>
      </c>
      <c r="W18" s="90">
        <v>0</v>
      </c>
      <c r="X18" s="84" t="s">
        <v>413</v>
      </c>
      <c r="Y18" s="85" t="s">
        <v>417</v>
      </c>
      <c r="Z18" s="86" t="s">
        <v>407</v>
      </c>
      <c r="AA18" s="74" t="s">
        <v>135</v>
      </c>
      <c r="AB18" s="66" t="s">
        <v>413</v>
      </c>
      <c r="AC18" s="72">
        <v>1</v>
      </c>
      <c r="AD18" s="72" t="s">
        <v>446</v>
      </c>
      <c r="AE18" s="74" t="s">
        <v>58</v>
      </c>
      <c r="AF18" s="59" t="s">
        <v>413</v>
      </c>
      <c r="AG18" s="60">
        <v>6</v>
      </c>
      <c r="AH18" s="74" t="s">
        <v>85</v>
      </c>
      <c r="AI18" s="74" t="s">
        <v>397</v>
      </c>
      <c r="AJ18" s="99"/>
      <c r="AK18" s="65" t="s">
        <v>60</v>
      </c>
      <c r="AL18" s="71">
        <v>604</v>
      </c>
      <c r="AM18" s="92" t="s">
        <v>60</v>
      </c>
      <c r="AO18" s="66" t="s">
        <v>60</v>
      </c>
      <c r="AP18" s="72">
        <v>15</v>
      </c>
      <c r="AQ18" s="72" t="s">
        <v>441</v>
      </c>
      <c r="AR18" s="74" t="s">
        <v>60</v>
      </c>
      <c r="AS18" s="84" t="s">
        <v>60</v>
      </c>
      <c r="AT18" s="85" t="s">
        <v>416</v>
      </c>
      <c r="AU18" s="86" t="s">
        <v>407</v>
      </c>
      <c r="AV18" s="74" t="s">
        <v>399</v>
      </c>
    </row>
    <row r="19" spans="3:48">
      <c r="C19" s="64">
        <v>18</v>
      </c>
      <c r="D19" s="63">
        <v>210</v>
      </c>
      <c r="E19" s="80" t="s">
        <v>154</v>
      </c>
      <c r="F19" s="80" t="s">
        <v>103</v>
      </c>
      <c r="G19" s="74" t="s">
        <v>153</v>
      </c>
      <c r="H19" s="81" t="s">
        <v>153</v>
      </c>
      <c r="I19" s="82" t="s">
        <v>442</v>
      </c>
      <c r="J19" s="74">
        <v>3</v>
      </c>
      <c r="Q19" s="87" t="s">
        <v>413</v>
      </c>
      <c r="R19" s="88">
        <v>200</v>
      </c>
      <c r="S19" s="88" t="s">
        <v>415</v>
      </c>
      <c r="T19" s="92" t="s">
        <v>10</v>
      </c>
      <c r="U19" s="90" t="s">
        <v>56</v>
      </c>
      <c r="V19" s="90" t="s">
        <v>56</v>
      </c>
      <c r="W19" s="90">
        <v>0</v>
      </c>
      <c r="X19" s="84" t="s">
        <v>153</v>
      </c>
      <c r="Y19" s="85" t="s">
        <v>418</v>
      </c>
      <c r="Z19" s="86" t="s">
        <v>407</v>
      </c>
      <c r="AA19" s="74" t="s">
        <v>136</v>
      </c>
      <c r="AB19" s="66" t="s">
        <v>153</v>
      </c>
      <c r="AC19" s="72">
        <v>1.5</v>
      </c>
      <c r="AD19" s="72" t="s">
        <v>446</v>
      </c>
      <c r="AE19" s="74" t="s">
        <v>85</v>
      </c>
      <c r="AF19" s="59" t="s">
        <v>153</v>
      </c>
      <c r="AG19" s="60">
        <v>6</v>
      </c>
      <c r="AH19" s="74" t="s">
        <v>85</v>
      </c>
      <c r="AI19" s="74" t="s">
        <v>143</v>
      </c>
      <c r="AJ19" s="99"/>
      <c r="AK19" s="65" t="s">
        <v>413</v>
      </c>
      <c r="AL19" s="71">
        <v>606</v>
      </c>
      <c r="AM19" s="92" t="s">
        <v>153</v>
      </c>
      <c r="AO19" s="66" t="s">
        <v>413</v>
      </c>
      <c r="AP19" s="72">
        <v>1</v>
      </c>
      <c r="AQ19" s="72" t="s">
        <v>446</v>
      </c>
      <c r="AR19" s="74" t="s">
        <v>58</v>
      </c>
      <c r="AS19" s="84" t="s">
        <v>413</v>
      </c>
      <c r="AT19" s="85" t="s">
        <v>417</v>
      </c>
      <c r="AU19" s="86" t="s">
        <v>407</v>
      </c>
      <c r="AV19" s="74" t="s">
        <v>135</v>
      </c>
    </row>
    <row r="20" spans="3:48">
      <c r="C20" s="64">
        <v>20</v>
      </c>
      <c r="D20" s="63">
        <v>240</v>
      </c>
      <c r="E20" s="80" t="s">
        <v>69</v>
      </c>
      <c r="F20" s="80" t="s">
        <v>58</v>
      </c>
      <c r="G20" s="74" t="s">
        <v>58</v>
      </c>
      <c r="H20" s="81" t="s">
        <v>154</v>
      </c>
      <c r="I20" s="82" t="s">
        <v>443</v>
      </c>
      <c r="J20" s="74">
        <v>3</v>
      </c>
      <c r="Q20" s="87" t="s">
        <v>153</v>
      </c>
      <c r="R20" s="88">
        <v>400</v>
      </c>
      <c r="S20" s="88" t="s">
        <v>415</v>
      </c>
      <c r="T20" s="92" t="s">
        <v>11</v>
      </c>
      <c r="U20" s="90" t="s">
        <v>56</v>
      </c>
      <c r="V20" s="90" t="s">
        <v>56</v>
      </c>
      <c r="W20" s="90">
        <v>0</v>
      </c>
      <c r="X20" s="84" t="s">
        <v>154</v>
      </c>
      <c r="Y20" s="85" t="s">
        <v>419</v>
      </c>
      <c r="Z20" s="86" t="s">
        <v>407</v>
      </c>
      <c r="AA20" s="74" t="s">
        <v>137</v>
      </c>
      <c r="AB20" s="66" t="s">
        <v>154</v>
      </c>
      <c r="AC20" s="72">
        <v>2</v>
      </c>
      <c r="AD20" s="72" t="s">
        <v>446</v>
      </c>
      <c r="AE20" s="74" t="s">
        <v>56</v>
      </c>
      <c r="AF20" s="59" t="s">
        <v>154</v>
      </c>
      <c r="AG20" s="60">
        <v>4</v>
      </c>
      <c r="AH20" s="74" t="s">
        <v>58</v>
      </c>
      <c r="AI20" s="74" t="s">
        <v>396</v>
      </c>
      <c r="AJ20" s="99"/>
      <c r="AK20" s="65" t="s">
        <v>153</v>
      </c>
      <c r="AL20" s="71">
        <v>664</v>
      </c>
      <c r="AM20" s="92" t="s">
        <v>154</v>
      </c>
      <c r="AO20" s="66" t="s">
        <v>153</v>
      </c>
      <c r="AP20" s="72">
        <v>1.5</v>
      </c>
      <c r="AQ20" s="72" t="s">
        <v>446</v>
      </c>
      <c r="AR20" s="74" t="s">
        <v>85</v>
      </c>
      <c r="AS20" s="84" t="s">
        <v>153</v>
      </c>
      <c r="AT20" s="85" t="s">
        <v>418</v>
      </c>
      <c r="AU20" s="86" t="s">
        <v>407</v>
      </c>
      <c r="AV20" s="74" t="s">
        <v>136</v>
      </c>
    </row>
    <row r="21" spans="3:48">
      <c r="C21" s="64">
        <v>25</v>
      </c>
      <c r="D21" s="63">
        <v>300</v>
      </c>
      <c r="E21" s="80" t="s">
        <v>155</v>
      </c>
      <c r="F21" s="80" t="s">
        <v>85</v>
      </c>
      <c r="G21" s="74" t="s">
        <v>61</v>
      </c>
      <c r="H21" s="81" t="s">
        <v>69</v>
      </c>
      <c r="I21" s="82" t="s">
        <v>443</v>
      </c>
      <c r="J21" s="74">
        <v>3</v>
      </c>
      <c r="Q21" s="87" t="s">
        <v>154</v>
      </c>
      <c r="R21" s="88">
        <v>500</v>
      </c>
      <c r="S21" s="88" t="s">
        <v>415</v>
      </c>
      <c r="T21" s="92" t="s">
        <v>94</v>
      </c>
      <c r="U21" s="90" t="s">
        <v>56</v>
      </c>
      <c r="V21" s="90" t="s">
        <v>56</v>
      </c>
      <c r="W21" s="90">
        <v>0</v>
      </c>
      <c r="X21" s="84" t="s">
        <v>69</v>
      </c>
      <c r="Y21" s="85" t="s">
        <v>420</v>
      </c>
      <c r="Z21" s="86" t="s">
        <v>407</v>
      </c>
      <c r="AA21" s="74" t="s">
        <v>138</v>
      </c>
      <c r="AB21" s="66" t="s">
        <v>69</v>
      </c>
      <c r="AC21" s="72">
        <v>3</v>
      </c>
      <c r="AD21" s="72" t="s">
        <v>446</v>
      </c>
      <c r="AE21" s="74" t="s">
        <v>86</v>
      </c>
      <c r="AF21" s="59" t="s">
        <v>69</v>
      </c>
      <c r="AG21" s="60">
        <v>4</v>
      </c>
      <c r="AH21" s="74" t="s">
        <v>58</v>
      </c>
      <c r="AI21" s="74" t="s">
        <v>397</v>
      </c>
      <c r="AJ21" s="99"/>
      <c r="AK21" s="65" t="s">
        <v>154</v>
      </c>
      <c r="AL21" s="71">
        <v>666</v>
      </c>
      <c r="AM21" s="92" t="s">
        <v>69</v>
      </c>
      <c r="AO21" s="66" t="s">
        <v>154</v>
      </c>
      <c r="AP21" s="72">
        <v>2</v>
      </c>
      <c r="AQ21" s="72" t="s">
        <v>446</v>
      </c>
      <c r="AR21" s="74" t="s">
        <v>56</v>
      </c>
      <c r="AS21" s="84" t="s">
        <v>154</v>
      </c>
      <c r="AT21" s="85" t="s">
        <v>419</v>
      </c>
      <c r="AU21" s="86" t="s">
        <v>407</v>
      </c>
      <c r="AV21" s="74" t="s">
        <v>137</v>
      </c>
    </row>
    <row r="22" spans="3:48">
      <c r="C22" s="64">
        <v>30</v>
      </c>
      <c r="D22" s="63">
        <v>360</v>
      </c>
      <c r="E22" s="80" t="s">
        <v>195</v>
      </c>
      <c r="F22" s="80" t="s">
        <v>56</v>
      </c>
      <c r="G22" s="74" t="s">
        <v>66</v>
      </c>
      <c r="H22" s="81" t="s">
        <v>155</v>
      </c>
      <c r="I22" s="82" t="s">
        <v>444</v>
      </c>
      <c r="J22" s="74">
        <v>3</v>
      </c>
      <c r="Q22" s="87" t="s">
        <v>69</v>
      </c>
      <c r="R22" s="88">
        <v>600</v>
      </c>
      <c r="S22" s="88" t="s">
        <v>415</v>
      </c>
      <c r="T22" s="92" t="s">
        <v>207</v>
      </c>
      <c r="U22" s="90" t="s">
        <v>56</v>
      </c>
      <c r="V22" s="90" t="s">
        <v>56</v>
      </c>
      <c r="W22" s="90">
        <v>0</v>
      </c>
      <c r="X22" s="84" t="s">
        <v>155</v>
      </c>
      <c r="Y22" s="85" t="s">
        <v>422</v>
      </c>
      <c r="Z22" s="86" t="s">
        <v>407</v>
      </c>
      <c r="AA22" s="74" t="s">
        <v>139</v>
      </c>
      <c r="AB22" s="66" t="s">
        <v>155</v>
      </c>
      <c r="AC22" s="72">
        <v>5</v>
      </c>
      <c r="AD22" s="72" t="s">
        <v>446</v>
      </c>
      <c r="AE22" s="74" t="s">
        <v>103</v>
      </c>
      <c r="AF22" s="59" t="s">
        <v>155</v>
      </c>
      <c r="AG22" s="60">
        <v>4</v>
      </c>
      <c r="AH22" s="74" t="s">
        <v>58</v>
      </c>
      <c r="AI22" s="74" t="s">
        <v>396</v>
      </c>
      <c r="AJ22" s="99"/>
      <c r="AK22" s="65" t="s">
        <v>69</v>
      </c>
      <c r="AL22" s="71">
        <v>706</v>
      </c>
      <c r="AM22" s="92" t="s">
        <v>155</v>
      </c>
      <c r="AO22" s="66" t="s">
        <v>69</v>
      </c>
      <c r="AP22" s="72">
        <v>3</v>
      </c>
      <c r="AQ22" s="72" t="s">
        <v>446</v>
      </c>
      <c r="AR22" s="74" t="s">
        <v>86</v>
      </c>
      <c r="AS22" s="84" t="s">
        <v>69</v>
      </c>
      <c r="AT22" s="85" t="s">
        <v>420</v>
      </c>
      <c r="AU22" s="86" t="s">
        <v>407</v>
      </c>
      <c r="AV22" s="74" t="s">
        <v>138</v>
      </c>
    </row>
    <row r="23" spans="3:48">
      <c r="C23" s="64">
        <v>35</v>
      </c>
      <c r="D23" s="63">
        <v>420</v>
      </c>
      <c r="E23" s="80" t="s">
        <v>55</v>
      </c>
      <c r="F23" s="80" t="s">
        <v>86</v>
      </c>
      <c r="G23" s="74" t="s">
        <v>60</v>
      </c>
      <c r="H23" s="81" t="s">
        <v>195</v>
      </c>
      <c r="I23" s="82" t="s">
        <v>444</v>
      </c>
      <c r="J23" s="74">
        <v>3</v>
      </c>
      <c r="Q23" s="87" t="s">
        <v>155</v>
      </c>
      <c r="R23" s="88">
        <v>700</v>
      </c>
      <c r="S23" s="88" t="s">
        <v>415</v>
      </c>
      <c r="T23" s="92" t="s">
        <v>544</v>
      </c>
      <c r="U23" s="90" t="s">
        <v>56</v>
      </c>
      <c r="V23" s="90" t="s">
        <v>56</v>
      </c>
      <c r="W23" s="90">
        <v>0</v>
      </c>
      <c r="X23" s="84" t="s">
        <v>195</v>
      </c>
      <c r="Y23" s="85" t="s">
        <v>424</v>
      </c>
      <c r="Z23" s="86" t="s">
        <v>407</v>
      </c>
      <c r="AA23" s="74" t="s">
        <v>140</v>
      </c>
      <c r="AB23" s="66" t="s">
        <v>195</v>
      </c>
      <c r="AC23" s="72">
        <v>7.5</v>
      </c>
      <c r="AD23" s="72" t="s">
        <v>446</v>
      </c>
      <c r="AE23" s="74" t="s">
        <v>61</v>
      </c>
      <c r="AF23" s="59" t="s">
        <v>195</v>
      </c>
      <c r="AG23" s="60">
        <v>4</v>
      </c>
      <c r="AH23" s="74" t="s">
        <v>58</v>
      </c>
      <c r="AI23" s="74" t="s">
        <v>397</v>
      </c>
      <c r="AJ23" s="99"/>
      <c r="AK23" s="65" t="s">
        <v>155</v>
      </c>
      <c r="AL23" s="71">
        <v>244</v>
      </c>
      <c r="AM23" s="100" t="s">
        <v>58</v>
      </c>
      <c r="AO23" s="66" t="s">
        <v>155</v>
      </c>
      <c r="AP23" s="72">
        <v>5</v>
      </c>
      <c r="AQ23" s="72" t="s">
        <v>446</v>
      </c>
      <c r="AR23" s="74" t="s">
        <v>103</v>
      </c>
      <c r="AS23" s="84" t="s">
        <v>155</v>
      </c>
      <c r="AT23" s="85" t="s">
        <v>422</v>
      </c>
      <c r="AU23" s="86" t="s">
        <v>407</v>
      </c>
      <c r="AV23" s="74" t="s">
        <v>139</v>
      </c>
    </row>
    <row r="24" spans="3:48">
      <c r="C24" s="64">
        <v>40</v>
      </c>
      <c r="D24" s="103">
        <v>480</v>
      </c>
      <c r="E24" s="80" t="s">
        <v>196</v>
      </c>
      <c r="F24" s="91" t="s">
        <v>103</v>
      </c>
      <c r="G24" s="74" t="s">
        <v>153</v>
      </c>
      <c r="H24" s="81" t="s">
        <v>55</v>
      </c>
      <c r="I24" s="82" t="s">
        <v>445</v>
      </c>
      <c r="J24" s="74">
        <v>3</v>
      </c>
      <c r="Q24" s="87" t="s">
        <v>195</v>
      </c>
      <c r="R24" s="88">
        <v>800</v>
      </c>
      <c r="S24" s="88" t="s">
        <v>415</v>
      </c>
      <c r="T24" s="92" t="s">
        <v>208</v>
      </c>
      <c r="U24" s="90" t="s">
        <v>56</v>
      </c>
      <c r="V24" s="90" t="s">
        <v>56</v>
      </c>
      <c r="W24" s="90">
        <v>0</v>
      </c>
      <c r="X24" s="84" t="s">
        <v>55</v>
      </c>
      <c r="Y24" s="85" t="s">
        <v>426</v>
      </c>
      <c r="Z24" s="86" t="s">
        <v>407</v>
      </c>
      <c r="AA24" s="74" t="s">
        <v>117</v>
      </c>
      <c r="AB24" s="66" t="s">
        <v>55</v>
      </c>
      <c r="AC24" s="72">
        <v>10</v>
      </c>
      <c r="AD24" s="72" t="s">
        <v>446</v>
      </c>
      <c r="AE24" s="74" t="s">
        <v>66</v>
      </c>
      <c r="AF24" s="59" t="s">
        <v>55</v>
      </c>
      <c r="AG24" s="60">
        <v>4</v>
      </c>
      <c r="AH24" s="74" t="s">
        <v>58</v>
      </c>
      <c r="AI24" s="74" t="s">
        <v>143</v>
      </c>
      <c r="AJ24" s="99"/>
      <c r="AK24" s="65" t="s">
        <v>195</v>
      </c>
      <c r="AL24" s="71">
        <v>324</v>
      </c>
      <c r="AM24" s="100" t="s">
        <v>85</v>
      </c>
      <c r="AO24" s="66" t="s">
        <v>195</v>
      </c>
      <c r="AP24" s="72">
        <v>7.5</v>
      </c>
      <c r="AQ24" s="72" t="s">
        <v>446</v>
      </c>
      <c r="AR24" s="74" t="s">
        <v>61</v>
      </c>
      <c r="AS24" s="84" t="s">
        <v>195</v>
      </c>
      <c r="AT24" s="85" t="s">
        <v>424</v>
      </c>
      <c r="AU24" s="86" t="s">
        <v>407</v>
      </c>
      <c r="AV24" s="74" t="s">
        <v>140</v>
      </c>
    </row>
    <row r="25" spans="3:48">
      <c r="C25" s="64">
        <v>45</v>
      </c>
      <c r="D25" s="103">
        <v>540</v>
      </c>
      <c r="E25" s="80" t="s">
        <v>197</v>
      </c>
      <c r="F25" s="80" t="s">
        <v>58</v>
      </c>
      <c r="G25" s="74" t="s">
        <v>58</v>
      </c>
      <c r="H25" s="81" t="s">
        <v>196</v>
      </c>
      <c r="I25" s="82" t="s">
        <v>445</v>
      </c>
      <c r="J25" s="74">
        <v>3</v>
      </c>
      <c r="Q25" s="87">
        <v>8</v>
      </c>
      <c r="R25" s="93">
        <v>1000</v>
      </c>
      <c r="S25" s="88" t="s">
        <v>415</v>
      </c>
      <c r="T25" s="92" t="s">
        <v>13</v>
      </c>
      <c r="U25" s="90" t="s">
        <v>56</v>
      </c>
      <c r="V25" s="90" t="s">
        <v>56</v>
      </c>
      <c r="W25" s="90">
        <v>0</v>
      </c>
      <c r="X25" s="84" t="s">
        <v>196</v>
      </c>
      <c r="Y25" s="94" t="s">
        <v>428</v>
      </c>
      <c r="Z25" s="86" t="s">
        <v>407</v>
      </c>
      <c r="AA25" s="74" t="s">
        <v>118</v>
      </c>
      <c r="AB25" s="66" t="s">
        <v>196</v>
      </c>
      <c r="AC25" s="72">
        <v>15</v>
      </c>
      <c r="AD25" s="72" t="s">
        <v>446</v>
      </c>
      <c r="AE25" s="74" t="s">
        <v>60</v>
      </c>
      <c r="AF25" s="59" t="s">
        <v>196</v>
      </c>
      <c r="AG25" s="60">
        <v>6</v>
      </c>
      <c r="AH25" s="74" t="s">
        <v>85</v>
      </c>
      <c r="AI25" s="74" t="s">
        <v>396</v>
      </c>
      <c r="AJ25" s="99"/>
      <c r="AK25" s="65" t="s">
        <v>55</v>
      </c>
      <c r="AL25" s="71">
        <v>364</v>
      </c>
      <c r="AM25" s="100" t="s">
        <v>56</v>
      </c>
      <c r="AO25" s="66" t="s">
        <v>55</v>
      </c>
      <c r="AP25" s="72">
        <v>10</v>
      </c>
      <c r="AQ25" s="72" t="s">
        <v>446</v>
      </c>
      <c r="AR25" s="74" t="s">
        <v>66</v>
      </c>
      <c r="AS25" s="84" t="s">
        <v>55</v>
      </c>
      <c r="AT25" s="85" t="s">
        <v>426</v>
      </c>
      <c r="AU25" s="86" t="s">
        <v>407</v>
      </c>
      <c r="AV25" s="74" t="s">
        <v>117</v>
      </c>
    </row>
    <row r="26" spans="3:48">
      <c r="C26" s="64">
        <v>50</v>
      </c>
      <c r="D26" s="103">
        <v>600</v>
      </c>
      <c r="E26" s="80" t="s">
        <v>57</v>
      </c>
      <c r="F26" s="80" t="s">
        <v>85</v>
      </c>
      <c r="G26" s="74" t="s">
        <v>61</v>
      </c>
      <c r="H26" s="81" t="s">
        <v>197</v>
      </c>
      <c r="I26" s="82" t="s">
        <v>442</v>
      </c>
      <c r="J26" s="74">
        <v>4</v>
      </c>
      <c r="L26" s="75" t="s">
        <v>442</v>
      </c>
      <c r="M26" s="75" t="s">
        <v>443</v>
      </c>
      <c r="N26" s="75" t="s">
        <v>444</v>
      </c>
      <c r="O26" s="75" t="s">
        <v>445</v>
      </c>
      <c r="Q26" s="87">
        <v>9</v>
      </c>
      <c r="R26" s="93">
        <v>1200</v>
      </c>
      <c r="S26" s="88" t="s">
        <v>415</v>
      </c>
      <c r="T26" s="92" t="s">
        <v>14</v>
      </c>
      <c r="U26" s="90" t="s">
        <v>56</v>
      </c>
      <c r="V26" s="90" t="s">
        <v>56</v>
      </c>
      <c r="W26" s="90">
        <v>0</v>
      </c>
      <c r="X26" s="84" t="s">
        <v>197</v>
      </c>
      <c r="Y26" s="94" t="s">
        <v>430</v>
      </c>
      <c r="Z26" s="86" t="s">
        <v>407</v>
      </c>
      <c r="AA26" s="74" t="s">
        <v>119</v>
      </c>
      <c r="AB26" s="66" t="s">
        <v>197</v>
      </c>
      <c r="AC26" s="230" t="s">
        <v>156</v>
      </c>
      <c r="AD26" s="230"/>
      <c r="AE26" s="74" t="s">
        <v>155</v>
      </c>
      <c r="AF26" s="59" t="s">
        <v>197</v>
      </c>
      <c r="AG26" s="60">
        <v>6</v>
      </c>
      <c r="AH26" s="74" t="s">
        <v>85</v>
      </c>
      <c r="AI26" s="74" t="s">
        <v>397</v>
      </c>
      <c r="AJ26" s="99"/>
      <c r="AK26" s="65" t="s">
        <v>196</v>
      </c>
      <c r="AL26" s="71">
        <v>424</v>
      </c>
      <c r="AM26" s="92" t="s">
        <v>86</v>
      </c>
      <c r="AO26" s="66" t="s">
        <v>196</v>
      </c>
      <c r="AP26" s="72">
        <v>15</v>
      </c>
      <c r="AQ26" s="72" t="s">
        <v>446</v>
      </c>
      <c r="AR26" s="74" t="s">
        <v>60</v>
      </c>
      <c r="AS26" s="84" t="s">
        <v>196</v>
      </c>
      <c r="AT26" s="94" t="s">
        <v>428</v>
      </c>
      <c r="AU26" s="86" t="s">
        <v>407</v>
      </c>
      <c r="AV26" s="74" t="s">
        <v>118</v>
      </c>
    </row>
    <row r="27" spans="3:48">
      <c r="C27" s="64">
        <v>55</v>
      </c>
      <c r="D27" s="103">
        <v>660</v>
      </c>
      <c r="E27" s="80" t="s">
        <v>198</v>
      </c>
      <c r="F27" s="80" t="s">
        <v>56</v>
      </c>
      <c r="G27" s="74" t="s">
        <v>66</v>
      </c>
      <c r="H27" s="81" t="s">
        <v>57</v>
      </c>
      <c r="I27" s="82" t="s">
        <v>442</v>
      </c>
      <c r="J27" s="74">
        <v>4</v>
      </c>
      <c r="K27" s="95" t="s">
        <v>58</v>
      </c>
      <c r="L27" s="104">
        <v>1</v>
      </c>
      <c r="M27" s="104" t="s">
        <v>405</v>
      </c>
      <c r="N27" s="104" t="s">
        <v>405</v>
      </c>
      <c r="O27" s="104">
        <v>2</v>
      </c>
      <c r="Q27" s="87" t="s">
        <v>55</v>
      </c>
      <c r="R27" s="88">
        <v>1400</v>
      </c>
      <c r="S27" s="88" t="s">
        <v>415</v>
      </c>
      <c r="T27" s="92" t="s">
        <v>91</v>
      </c>
      <c r="U27" s="90" t="s">
        <v>56</v>
      </c>
      <c r="V27" s="90" t="s">
        <v>56</v>
      </c>
      <c r="W27" s="90">
        <v>0</v>
      </c>
      <c r="X27" s="84" t="s">
        <v>57</v>
      </c>
      <c r="Y27" s="94" t="s">
        <v>432</v>
      </c>
      <c r="Z27" s="86" t="s">
        <v>407</v>
      </c>
      <c r="AA27" s="74" t="s">
        <v>120</v>
      </c>
      <c r="AD27" s="69"/>
      <c r="AF27" s="59" t="s">
        <v>57</v>
      </c>
      <c r="AG27" s="60">
        <v>6</v>
      </c>
      <c r="AH27" s="74" t="s">
        <v>85</v>
      </c>
      <c r="AI27" s="74" t="s">
        <v>396</v>
      </c>
      <c r="AJ27" s="99"/>
      <c r="AK27" s="65" t="s">
        <v>197</v>
      </c>
      <c r="AL27" s="71">
        <v>484</v>
      </c>
      <c r="AM27" s="92" t="s">
        <v>103</v>
      </c>
      <c r="AO27" s="66" t="s">
        <v>197</v>
      </c>
      <c r="AP27" s="72" t="s">
        <v>156</v>
      </c>
      <c r="AQ27" s="72"/>
      <c r="AR27" s="74" t="s">
        <v>155</v>
      </c>
      <c r="AS27" s="84" t="s">
        <v>197</v>
      </c>
      <c r="AT27" s="94" t="s">
        <v>430</v>
      </c>
      <c r="AU27" s="86" t="s">
        <v>407</v>
      </c>
      <c r="AV27" s="74" t="s">
        <v>119</v>
      </c>
    </row>
    <row r="28" spans="3:48">
      <c r="C28" s="64">
        <v>60</v>
      </c>
      <c r="D28" s="103">
        <v>720</v>
      </c>
      <c r="E28" s="80" t="s">
        <v>59</v>
      </c>
      <c r="F28" s="80" t="s">
        <v>86</v>
      </c>
      <c r="G28" s="74" t="s">
        <v>60</v>
      </c>
      <c r="H28" s="81" t="s">
        <v>198</v>
      </c>
      <c r="I28" s="82" t="s">
        <v>443</v>
      </c>
      <c r="J28" s="74">
        <v>4</v>
      </c>
      <c r="K28" s="95" t="s">
        <v>85</v>
      </c>
      <c r="L28" s="104">
        <v>1</v>
      </c>
      <c r="M28" s="104">
        <v>2</v>
      </c>
      <c r="N28" s="104">
        <v>3</v>
      </c>
      <c r="O28" s="104">
        <v>4</v>
      </c>
      <c r="Q28" s="87" t="s">
        <v>196</v>
      </c>
      <c r="R28" s="88">
        <v>1600</v>
      </c>
      <c r="S28" s="88" t="s">
        <v>415</v>
      </c>
      <c r="T28" s="96" t="s">
        <v>218</v>
      </c>
      <c r="U28" s="90" t="s">
        <v>56</v>
      </c>
      <c r="V28" s="90" t="s">
        <v>56</v>
      </c>
      <c r="W28" s="90">
        <v>0</v>
      </c>
      <c r="X28" s="84" t="s">
        <v>198</v>
      </c>
      <c r="Y28" s="94" t="s">
        <v>433</v>
      </c>
      <c r="Z28" s="86" t="s">
        <v>407</v>
      </c>
      <c r="AA28" s="74" t="s">
        <v>121</v>
      </c>
      <c r="AD28" s="69"/>
      <c r="AF28" s="59" t="s">
        <v>198</v>
      </c>
      <c r="AG28" s="60">
        <v>6</v>
      </c>
      <c r="AH28" s="74" t="s">
        <v>85</v>
      </c>
      <c r="AI28" s="74" t="s">
        <v>397</v>
      </c>
      <c r="AJ28" s="99"/>
      <c r="AK28" s="65" t="s">
        <v>57</v>
      </c>
      <c r="AL28" s="71">
        <v>486</v>
      </c>
      <c r="AM28" s="92" t="s">
        <v>61</v>
      </c>
      <c r="AP28" s="70"/>
      <c r="AS28" s="84" t="s">
        <v>57</v>
      </c>
      <c r="AT28" s="94" t="s">
        <v>432</v>
      </c>
      <c r="AU28" s="86" t="s">
        <v>407</v>
      </c>
      <c r="AV28" s="74" t="s">
        <v>120</v>
      </c>
    </row>
    <row r="29" spans="3:48">
      <c r="C29" s="64">
        <v>65</v>
      </c>
      <c r="D29" s="103">
        <v>780</v>
      </c>
      <c r="E29" s="80" t="s">
        <v>199</v>
      </c>
      <c r="F29" s="91" t="s">
        <v>103</v>
      </c>
      <c r="G29" s="74" t="s">
        <v>153</v>
      </c>
      <c r="H29" s="81" t="s">
        <v>59</v>
      </c>
      <c r="I29" s="82" t="s">
        <v>443</v>
      </c>
      <c r="J29" s="74">
        <v>4</v>
      </c>
      <c r="K29" s="95" t="s">
        <v>56</v>
      </c>
      <c r="L29" s="104">
        <v>2</v>
      </c>
      <c r="M29" s="104">
        <v>3</v>
      </c>
      <c r="N29" s="104">
        <v>4</v>
      </c>
      <c r="O29" s="104">
        <v>6</v>
      </c>
      <c r="Q29" s="61" t="s">
        <v>197</v>
      </c>
      <c r="R29" s="58">
        <v>5</v>
      </c>
      <c r="S29" s="58" t="s">
        <v>405</v>
      </c>
      <c r="T29" s="75">
        <v>0</v>
      </c>
      <c r="U29" s="90" t="s">
        <v>85</v>
      </c>
      <c r="V29" s="97" t="s">
        <v>58</v>
      </c>
      <c r="W29" s="75" t="s">
        <v>58</v>
      </c>
      <c r="X29" s="84" t="s">
        <v>59</v>
      </c>
      <c r="Y29" s="94" t="s">
        <v>434</v>
      </c>
      <c r="Z29" s="86" t="s">
        <v>407</v>
      </c>
      <c r="AA29" s="74" t="s">
        <v>122</v>
      </c>
      <c r="AD29" s="69"/>
      <c r="AF29" s="59" t="s">
        <v>59</v>
      </c>
      <c r="AG29" s="60">
        <v>6</v>
      </c>
      <c r="AH29" s="74" t="s">
        <v>85</v>
      </c>
      <c r="AI29" s="74" t="s">
        <v>143</v>
      </c>
      <c r="AK29" s="65" t="s">
        <v>198</v>
      </c>
      <c r="AL29" s="71">
        <v>544</v>
      </c>
      <c r="AM29" s="92" t="s">
        <v>66</v>
      </c>
      <c r="AP29" s="70"/>
      <c r="AS29" s="84" t="s">
        <v>198</v>
      </c>
      <c r="AT29" s="94" t="s">
        <v>433</v>
      </c>
      <c r="AU29" s="86" t="s">
        <v>407</v>
      </c>
      <c r="AV29" s="74" t="s">
        <v>121</v>
      </c>
    </row>
    <row r="30" spans="3:48">
      <c r="C30" s="64">
        <v>70</v>
      </c>
      <c r="D30" s="103">
        <v>840</v>
      </c>
      <c r="E30" s="80" t="s">
        <v>200</v>
      </c>
      <c r="F30" s="80" t="s">
        <v>58</v>
      </c>
      <c r="G30" s="74" t="s">
        <v>58</v>
      </c>
      <c r="H30" s="81" t="s">
        <v>199</v>
      </c>
      <c r="I30" s="82" t="s">
        <v>444</v>
      </c>
      <c r="J30" s="74">
        <v>4</v>
      </c>
      <c r="K30" s="95" t="s">
        <v>86</v>
      </c>
      <c r="L30" s="104">
        <v>4</v>
      </c>
      <c r="M30" s="104" t="s">
        <v>405</v>
      </c>
      <c r="N30" s="104">
        <v>6</v>
      </c>
      <c r="O30" s="104">
        <v>8</v>
      </c>
      <c r="Q30" s="61" t="s">
        <v>57</v>
      </c>
      <c r="R30" s="58">
        <v>10</v>
      </c>
      <c r="S30" s="58" t="s">
        <v>405</v>
      </c>
      <c r="T30" s="75">
        <v>0</v>
      </c>
      <c r="U30" s="90" t="s">
        <v>85</v>
      </c>
      <c r="V30" s="97" t="s">
        <v>58</v>
      </c>
      <c r="W30" s="75" t="s">
        <v>85</v>
      </c>
      <c r="X30" s="84" t="s">
        <v>199</v>
      </c>
      <c r="Y30" s="94" t="s">
        <v>435</v>
      </c>
      <c r="Z30" s="86" t="s">
        <v>407</v>
      </c>
      <c r="AA30" s="74" t="s">
        <v>123</v>
      </c>
      <c r="AD30" s="69"/>
      <c r="AF30" s="59" t="s">
        <v>199</v>
      </c>
      <c r="AG30" s="60">
        <v>4</v>
      </c>
      <c r="AH30" s="74" t="s">
        <v>58</v>
      </c>
      <c r="AI30" s="74" t="s">
        <v>396</v>
      </c>
      <c r="AK30" s="65" t="s">
        <v>59</v>
      </c>
      <c r="AL30" s="71">
        <v>604</v>
      </c>
      <c r="AM30" s="92" t="s">
        <v>60</v>
      </c>
      <c r="AP30" s="70"/>
      <c r="AS30" s="84" t="s">
        <v>59</v>
      </c>
      <c r="AT30" s="94" t="s">
        <v>434</v>
      </c>
      <c r="AU30" s="86" t="s">
        <v>407</v>
      </c>
      <c r="AV30" s="74" t="s">
        <v>122</v>
      </c>
    </row>
    <row r="31" spans="3:48">
      <c r="E31" s="80" t="s">
        <v>68</v>
      </c>
      <c r="F31" s="80" t="s">
        <v>85</v>
      </c>
      <c r="G31" s="74" t="s">
        <v>61</v>
      </c>
      <c r="H31" s="81" t="s">
        <v>200</v>
      </c>
      <c r="I31" s="82" t="s">
        <v>444</v>
      </c>
      <c r="J31" s="74">
        <v>4</v>
      </c>
      <c r="K31" s="95" t="s">
        <v>103</v>
      </c>
      <c r="L31" s="104">
        <v>4</v>
      </c>
      <c r="M31" s="104" t="s">
        <v>405</v>
      </c>
      <c r="N31" s="104">
        <v>6</v>
      </c>
      <c r="O31" s="104">
        <v>8</v>
      </c>
      <c r="Q31" s="61" t="s">
        <v>198</v>
      </c>
      <c r="R31" s="58">
        <v>15</v>
      </c>
      <c r="S31" s="58" t="s">
        <v>405</v>
      </c>
      <c r="T31" s="75">
        <v>0</v>
      </c>
      <c r="U31" s="90" t="s">
        <v>85</v>
      </c>
      <c r="V31" s="97" t="s">
        <v>58</v>
      </c>
      <c r="W31" s="75" t="s">
        <v>56</v>
      </c>
      <c r="X31" s="84" t="s">
        <v>200</v>
      </c>
      <c r="Y31" s="94" t="s">
        <v>436</v>
      </c>
      <c r="Z31" s="86" t="s">
        <v>407</v>
      </c>
      <c r="AA31" s="74" t="s">
        <v>124</v>
      </c>
      <c r="AD31" s="69"/>
      <c r="AF31" s="59" t="s">
        <v>200</v>
      </c>
      <c r="AG31" s="60">
        <v>4</v>
      </c>
      <c r="AH31" s="74" t="s">
        <v>58</v>
      </c>
      <c r="AI31" s="74" t="s">
        <v>397</v>
      </c>
      <c r="AK31" s="65" t="s">
        <v>199</v>
      </c>
      <c r="AL31" s="71">
        <v>606</v>
      </c>
      <c r="AM31" s="92" t="s">
        <v>153</v>
      </c>
      <c r="AP31" s="69"/>
      <c r="AS31" s="84" t="s">
        <v>199</v>
      </c>
      <c r="AT31" s="94" t="s">
        <v>435</v>
      </c>
      <c r="AU31" s="86" t="s">
        <v>407</v>
      </c>
      <c r="AV31" s="74" t="s">
        <v>123</v>
      </c>
    </row>
    <row r="32" spans="3:48">
      <c r="E32" s="80" t="s">
        <v>41</v>
      </c>
      <c r="F32" s="80" t="s">
        <v>56</v>
      </c>
      <c r="G32" s="74" t="s">
        <v>66</v>
      </c>
      <c r="H32" s="81" t="s">
        <v>68</v>
      </c>
      <c r="I32" s="82" t="s">
        <v>445</v>
      </c>
      <c r="J32" s="74">
        <v>4</v>
      </c>
      <c r="Q32" s="61" t="s">
        <v>59</v>
      </c>
      <c r="R32" s="58">
        <v>20</v>
      </c>
      <c r="S32" s="58" t="s">
        <v>405</v>
      </c>
      <c r="T32" s="75">
        <v>0</v>
      </c>
      <c r="U32" s="90" t="s">
        <v>85</v>
      </c>
      <c r="V32" s="97" t="s">
        <v>58</v>
      </c>
      <c r="W32" s="75" t="s">
        <v>86</v>
      </c>
      <c r="X32" s="84" t="s">
        <v>68</v>
      </c>
      <c r="Y32" s="94" t="s">
        <v>437</v>
      </c>
      <c r="Z32" s="86" t="s">
        <v>407</v>
      </c>
      <c r="AA32" s="74" t="s">
        <v>125</v>
      </c>
      <c r="AD32" s="69"/>
      <c r="AF32" s="59" t="s">
        <v>68</v>
      </c>
      <c r="AG32" s="60">
        <v>4</v>
      </c>
      <c r="AH32" s="74" t="s">
        <v>58</v>
      </c>
      <c r="AI32" s="74" t="s">
        <v>396</v>
      </c>
      <c r="AK32" s="65" t="s">
        <v>200</v>
      </c>
      <c r="AL32" s="71">
        <v>664</v>
      </c>
      <c r="AM32" s="92" t="s">
        <v>154</v>
      </c>
      <c r="AS32" s="84" t="s">
        <v>200</v>
      </c>
      <c r="AT32" s="94" t="s">
        <v>436</v>
      </c>
      <c r="AU32" s="86" t="s">
        <v>407</v>
      </c>
      <c r="AV32" s="74" t="s">
        <v>124</v>
      </c>
    </row>
    <row r="33" spans="5:48">
      <c r="E33" s="80" t="s">
        <v>42</v>
      </c>
      <c r="F33" s="80" t="s">
        <v>86</v>
      </c>
      <c r="G33" s="74" t="s">
        <v>60</v>
      </c>
      <c r="H33" s="81" t="s">
        <v>41</v>
      </c>
      <c r="I33" s="82" t="s">
        <v>445</v>
      </c>
      <c r="J33" s="74">
        <v>4</v>
      </c>
      <c r="Q33" s="61" t="s">
        <v>199</v>
      </c>
      <c r="R33" s="58">
        <v>25</v>
      </c>
      <c r="S33" s="58" t="s">
        <v>405</v>
      </c>
      <c r="T33" s="75">
        <v>0</v>
      </c>
      <c r="U33" s="90" t="s">
        <v>85</v>
      </c>
      <c r="V33" s="97" t="s">
        <v>58</v>
      </c>
      <c r="W33" s="75" t="s">
        <v>103</v>
      </c>
      <c r="X33" s="84" t="s">
        <v>41</v>
      </c>
      <c r="Y33" s="94" t="s">
        <v>430</v>
      </c>
      <c r="Z33" s="86" t="s">
        <v>112</v>
      </c>
      <c r="AA33" s="74" t="s">
        <v>109</v>
      </c>
      <c r="AD33" s="69"/>
      <c r="AF33" s="59" t="s">
        <v>41</v>
      </c>
      <c r="AG33" s="60">
        <v>4</v>
      </c>
      <c r="AH33" s="74" t="s">
        <v>58</v>
      </c>
      <c r="AI33" s="74" t="s">
        <v>397</v>
      </c>
      <c r="AK33" s="65" t="s">
        <v>68</v>
      </c>
      <c r="AL33" s="71">
        <v>666</v>
      </c>
      <c r="AM33" s="92" t="s">
        <v>69</v>
      </c>
      <c r="AS33" s="84" t="s">
        <v>68</v>
      </c>
      <c r="AT33" s="94" t="s">
        <v>437</v>
      </c>
      <c r="AU33" s="86" t="s">
        <v>407</v>
      </c>
      <c r="AV33" s="74" t="s">
        <v>125</v>
      </c>
    </row>
    <row r="34" spans="5:48">
      <c r="E34" s="80" t="s">
        <v>43</v>
      </c>
      <c r="F34" s="91" t="s">
        <v>103</v>
      </c>
      <c r="G34" s="74" t="s">
        <v>153</v>
      </c>
      <c r="H34" s="81" t="s">
        <v>42</v>
      </c>
      <c r="I34" s="82" t="s">
        <v>442</v>
      </c>
      <c r="J34" s="74">
        <v>5</v>
      </c>
      <c r="Q34" s="61" t="s">
        <v>200</v>
      </c>
      <c r="R34" s="58">
        <v>30</v>
      </c>
      <c r="S34" s="58" t="s">
        <v>405</v>
      </c>
      <c r="T34" s="75">
        <v>0</v>
      </c>
      <c r="U34" s="90" t="s">
        <v>85</v>
      </c>
      <c r="V34" s="97" t="s">
        <v>58</v>
      </c>
      <c r="W34" s="75" t="s">
        <v>61</v>
      </c>
      <c r="X34" s="84" t="s">
        <v>42</v>
      </c>
      <c r="Y34" s="94" t="s">
        <v>432</v>
      </c>
      <c r="Z34" s="86" t="s">
        <v>112</v>
      </c>
      <c r="AA34" s="74" t="s">
        <v>110</v>
      </c>
      <c r="AD34" s="69"/>
      <c r="AF34" s="59" t="s">
        <v>42</v>
      </c>
      <c r="AG34" s="60">
        <v>4</v>
      </c>
      <c r="AH34" s="74" t="s">
        <v>58</v>
      </c>
      <c r="AI34" s="74" t="s">
        <v>143</v>
      </c>
      <c r="AK34" s="65" t="s">
        <v>41</v>
      </c>
      <c r="AL34" s="71">
        <v>706</v>
      </c>
      <c r="AM34" s="92" t="s">
        <v>155</v>
      </c>
      <c r="AS34" s="84" t="s">
        <v>41</v>
      </c>
      <c r="AT34" s="94" t="s">
        <v>430</v>
      </c>
      <c r="AU34" s="86" t="s">
        <v>112</v>
      </c>
      <c r="AV34" s="74" t="s">
        <v>109</v>
      </c>
    </row>
    <row r="35" spans="5:48">
      <c r="E35" s="80">
        <v>1</v>
      </c>
      <c r="F35" s="80" t="s">
        <v>58</v>
      </c>
      <c r="G35" s="74" t="s">
        <v>58</v>
      </c>
      <c r="H35" s="81" t="s">
        <v>43</v>
      </c>
      <c r="I35" s="82" t="s">
        <v>442</v>
      </c>
      <c r="J35" s="74">
        <v>5</v>
      </c>
      <c r="Q35" s="61" t="s">
        <v>68</v>
      </c>
      <c r="R35" s="58">
        <v>35</v>
      </c>
      <c r="S35" s="58" t="s">
        <v>405</v>
      </c>
      <c r="T35" s="75">
        <v>0</v>
      </c>
      <c r="U35" s="90" t="s">
        <v>85</v>
      </c>
      <c r="V35" s="97" t="s">
        <v>58</v>
      </c>
      <c r="W35" s="75" t="s">
        <v>66</v>
      </c>
      <c r="X35" s="84" t="s">
        <v>43</v>
      </c>
      <c r="Y35" s="94" t="s">
        <v>433</v>
      </c>
      <c r="Z35" s="86" t="s">
        <v>112</v>
      </c>
      <c r="AA35" s="74" t="s">
        <v>111</v>
      </c>
      <c r="AD35" s="69"/>
      <c r="AF35" s="59" t="s">
        <v>43</v>
      </c>
      <c r="AG35" s="60">
        <v>6</v>
      </c>
      <c r="AH35" s="74" t="s">
        <v>85</v>
      </c>
      <c r="AI35" s="74" t="s">
        <v>396</v>
      </c>
      <c r="AS35" s="84" t="s">
        <v>42</v>
      </c>
      <c r="AT35" s="94" t="s">
        <v>432</v>
      </c>
      <c r="AU35" s="86" t="s">
        <v>112</v>
      </c>
      <c r="AV35" s="74" t="s">
        <v>110</v>
      </c>
    </row>
    <row r="36" spans="5:48">
      <c r="E36" s="80">
        <v>2</v>
      </c>
      <c r="F36" s="80" t="s">
        <v>85</v>
      </c>
      <c r="G36" s="74" t="s">
        <v>61</v>
      </c>
      <c r="H36" s="81">
        <v>1</v>
      </c>
      <c r="I36" s="82" t="s">
        <v>443</v>
      </c>
      <c r="J36" s="74">
        <v>5</v>
      </c>
      <c r="Q36" s="61" t="s">
        <v>41</v>
      </c>
      <c r="R36" s="58">
        <v>40</v>
      </c>
      <c r="S36" s="58" t="s">
        <v>405</v>
      </c>
      <c r="T36" s="75">
        <v>0</v>
      </c>
      <c r="U36" s="90" t="s">
        <v>85</v>
      </c>
      <c r="V36" s="97" t="s">
        <v>58</v>
      </c>
      <c r="W36" s="75" t="s">
        <v>60</v>
      </c>
      <c r="X36" s="84">
        <v>1</v>
      </c>
      <c r="Y36" s="94" t="s">
        <v>434</v>
      </c>
      <c r="Z36" s="86" t="s">
        <v>112</v>
      </c>
      <c r="AA36" s="74" t="s">
        <v>112</v>
      </c>
      <c r="AD36" s="69"/>
      <c r="AF36" s="59">
        <v>1</v>
      </c>
      <c r="AG36" s="60">
        <v>6</v>
      </c>
      <c r="AH36" s="74" t="s">
        <v>85</v>
      </c>
      <c r="AI36" s="74" t="s">
        <v>397</v>
      </c>
      <c r="AS36" s="84" t="s">
        <v>43</v>
      </c>
      <c r="AT36" s="94" t="s">
        <v>433</v>
      </c>
      <c r="AU36" s="86" t="s">
        <v>112</v>
      </c>
      <c r="AV36" s="74" t="s">
        <v>111</v>
      </c>
    </row>
    <row r="37" spans="5:48">
      <c r="E37" s="80">
        <v>3</v>
      </c>
      <c r="F37" s="80" t="s">
        <v>56</v>
      </c>
      <c r="G37" s="74" t="s">
        <v>66</v>
      </c>
      <c r="H37" s="81">
        <v>2</v>
      </c>
      <c r="I37" s="82" t="s">
        <v>443</v>
      </c>
      <c r="J37" s="74">
        <v>5</v>
      </c>
      <c r="Q37" s="61" t="s">
        <v>42</v>
      </c>
      <c r="R37" s="58">
        <v>50</v>
      </c>
      <c r="S37" s="58" t="s">
        <v>405</v>
      </c>
      <c r="T37" s="75">
        <v>0</v>
      </c>
      <c r="U37" s="90" t="s">
        <v>85</v>
      </c>
      <c r="V37" s="97" t="s">
        <v>58</v>
      </c>
      <c r="W37" s="75" t="s">
        <v>154</v>
      </c>
      <c r="X37" s="84">
        <v>2</v>
      </c>
      <c r="Y37" s="94" t="s">
        <v>435</v>
      </c>
      <c r="Z37" s="86" t="s">
        <v>112</v>
      </c>
      <c r="AA37" s="74" t="s">
        <v>113</v>
      </c>
      <c r="AD37" s="69"/>
      <c r="AF37" s="59">
        <v>2</v>
      </c>
      <c r="AG37" s="60">
        <v>6</v>
      </c>
      <c r="AH37" s="74" t="s">
        <v>85</v>
      </c>
      <c r="AI37" s="74" t="s">
        <v>396</v>
      </c>
      <c r="AS37" s="84">
        <v>1</v>
      </c>
      <c r="AT37" s="94" t="s">
        <v>434</v>
      </c>
      <c r="AU37" s="86" t="s">
        <v>112</v>
      </c>
      <c r="AV37" s="74" t="s">
        <v>112</v>
      </c>
    </row>
    <row r="38" spans="5:48">
      <c r="E38" s="80">
        <v>4</v>
      </c>
      <c r="F38" s="80" t="s">
        <v>86</v>
      </c>
      <c r="G38" s="74" t="s">
        <v>60</v>
      </c>
      <c r="H38" s="81">
        <v>3</v>
      </c>
      <c r="I38" s="82" t="s">
        <v>444</v>
      </c>
      <c r="J38" s="74">
        <v>5</v>
      </c>
      <c r="Q38" s="61" t="s">
        <v>43</v>
      </c>
      <c r="R38" s="58">
        <v>60</v>
      </c>
      <c r="S38" s="58" t="s">
        <v>405</v>
      </c>
      <c r="T38" s="75">
        <v>0</v>
      </c>
      <c r="U38" s="90" t="s">
        <v>85</v>
      </c>
      <c r="V38" s="97" t="s">
        <v>58</v>
      </c>
      <c r="W38" s="75" t="s">
        <v>155</v>
      </c>
      <c r="X38" s="84">
        <v>3</v>
      </c>
      <c r="Y38" s="94" t="s">
        <v>436</v>
      </c>
      <c r="Z38" s="86" t="s">
        <v>112</v>
      </c>
      <c r="AA38" s="74" t="s">
        <v>114</v>
      </c>
      <c r="AD38" s="69"/>
      <c r="AF38" s="59">
        <v>3</v>
      </c>
      <c r="AG38" s="60">
        <v>6</v>
      </c>
      <c r="AH38" s="74" t="s">
        <v>85</v>
      </c>
      <c r="AI38" s="74" t="s">
        <v>397</v>
      </c>
      <c r="AS38" s="84">
        <v>2</v>
      </c>
      <c r="AT38" s="94" t="s">
        <v>435</v>
      </c>
      <c r="AU38" s="86" t="s">
        <v>112</v>
      </c>
      <c r="AV38" s="74" t="s">
        <v>113</v>
      </c>
    </row>
    <row r="39" spans="5:48">
      <c r="E39" s="80">
        <v>5</v>
      </c>
      <c r="F39" s="91" t="s">
        <v>103</v>
      </c>
      <c r="G39" s="74" t="s">
        <v>153</v>
      </c>
      <c r="H39" s="81">
        <v>4</v>
      </c>
      <c r="I39" s="82" t="s">
        <v>444</v>
      </c>
      <c r="J39" s="74">
        <v>5</v>
      </c>
      <c r="Q39" s="61">
        <v>1</v>
      </c>
      <c r="R39" s="58">
        <v>70</v>
      </c>
      <c r="S39" s="58" t="s">
        <v>405</v>
      </c>
      <c r="T39" s="75">
        <v>0</v>
      </c>
      <c r="U39" s="90" t="s">
        <v>85</v>
      </c>
      <c r="V39" s="97" t="s">
        <v>58</v>
      </c>
      <c r="W39" s="75" t="s">
        <v>195</v>
      </c>
      <c r="X39" s="84">
        <v>4</v>
      </c>
      <c r="Y39" s="94" t="s">
        <v>437</v>
      </c>
      <c r="Z39" s="86" t="s">
        <v>112</v>
      </c>
      <c r="AA39" s="74" t="s">
        <v>115</v>
      </c>
      <c r="AD39" s="68"/>
      <c r="AF39" s="59">
        <v>4</v>
      </c>
      <c r="AG39" s="60">
        <v>6</v>
      </c>
      <c r="AH39" s="74" t="s">
        <v>85</v>
      </c>
      <c r="AI39" s="74" t="s">
        <v>143</v>
      </c>
      <c r="AS39" s="84">
        <v>3</v>
      </c>
      <c r="AT39" s="94" t="s">
        <v>436</v>
      </c>
      <c r="AU39" s="86" t="s">
        <v>112</v>
      </c>
      <c r="AV39" s="74" t="s">
        <v>114</v>
      </c>
    </row>
    <row r="40" spans="5:48">
      <c r="H40" s="81">
        <v>5</v>
      </c>
      <c r="I40" s="82" t="s">
        <v>445</v>
      </c>
      <c r="J40" s="74">
        <v>5</v>
      </c>
      <c r="Q40" s="61">
        <v>2</v>
      </c>
      <c r="R40" s="58">
        <v>80</v>
      </c>
      <c r="S40" s="58" t="s">
        <v>405</v>
      </c>
      <c r="T40" s="75">
        <v>0</v>
      </c>
      <c r="U40" s="90" t="s">
        <v>85</v>
      </c>
      <c r="V40" s="97" t="s">
        <v>58</v>
      </c>
      <c r="W40" s="75" t="s">
        <v>196</v>
      </c>
      <c r="AD40" s="68"/>
      <c r="AS40" s="84">
        <v>4</v>
      </c>
      <c r="AT40" s="94" t="s">
        <v>437</v>
      </c>
      <c r="AU40" s="86" t="s">
        <v>112</v>
      </c>
      <c r="AV40" s="74" t="s">
        <v>115</v>
      </c>
    </row>
    <row r="41" spans="5:48">
      <c r="H41" s="81">
        <v>6</v>
      </c>
      <c r="I41" s="82" t="s">
        <v>445</v>
      </c>
      <c r="J41" s="74">
        <v>5</v>
      </c>
      <c r="Q41" s="61">
        <v>3</v>
      </c>
      <c r="R41" s="58">
        <v>100</v>
      </c>
      <c r="S41" s="58" t="s">
        <v>405</v>
      </c>
      <c r="T41" s="75">
        <v>0</v>
      </c>
      <c r="U41" s="90" t="s">
        <v>85</v>
      </c>
      <c r="V41" s="97" t="s">
        <v>58</v>
      </c>
      <c r="W41" s="75" t="s">
        <v>57</v>
      </c>
      <c r="AD41" s="68"/>
    </row>
    <row r="42" spans="5:48">
      <c r="Q42" s="61">
        <v>4</v>
      </c>
      <c r="R42" s="58">
        <v>110</v>
      </c>
      <c r="S42" s="58" t="s">
        <v>405</v>
      </c>
      <c r="T42" s="75">
        <v>0</v>
      </c>
      <c r="U42" s="90" t="s">
        <v>85</v>
      </c>
      <c r="V42" s="97" t="s">
        <v>58</v>
      </c>
      <c r="W42" s="75" t="s">
        <v>198</v>
      </c>
      <c r="AD42" s="69"/>
    </row>
    <row r="43" spans="5:48">
      <c r="Q43" s="61">
        <v>5</v>
      </c>
      <c r="R43" s="58">
        <v>120</v>
      </c>
      <c r="S43" s="58" t="s">
        <v>405</v>
      </c>
      <c r="T43" s="75">
        <v>0</v>
      </c>
      <c r="U43" s="90" t="s">
        <v>85</v>
      </c>
      <c r="V43" s="97" t="s">
        <v>58</v>
      </c>
      <c r="W43" s="75" t="s">
        <v>59</v>
      </c>
      <c r="AD43" s="69"/>
    </row>
    <row r="44" spans="5:48">
      <c r="Q44" s="61">
        <v>6</v>
      </c>
      <c r="R44" s="58" t="s">
        <v>438</v>
      </c>
      <c r="S44" s="58"/>
      <c r="T44" s="75">
        <v>0</v>
      </c>
      <c r="U44" s="90" t="s">
        <v>85</v>
      </c>
      <c r="V44" s="75" t="s">
        <v>61</v>
      </c>
      <c r="W44" s="75">
        <v>0</v>
      </c>
      <c r="AD44" s="69"/>
    </row>
    <row r="45" spans="5:48">
      <c r="Q45" s="61">
        <v>7</v>
      </c>
      <c r="R45" s="58" t="s">
        <v>439</v>
      </c>
      <c r="S45" s="58"/>
      <c r="T45" s="75">
        <v>0</v>
      </c>
      <c r="U45" s="90" t="s">
        <v>85</v>
      </c>
      <c r="V45" s="75" t="s">
        <v>61</v>
      </c>
      <c r="W45" s="75">
        <v>0</v>
      </c>
      <c r="AD45" s="69"/>
    </row>
    <row r="46" spans="5:48">
      <c r="Q46" s="61"/>
      <c r="AD46" s="69"/>
    </row>
    <row r="47" spans="5:48">
      <c r="Q47" s="61"/>
      <c r="AD47" s="69"/>
    </row>
    <row r="48" spans="5:48">
      <c r="Q48" s="61"/>
      <c r="AD48" s="69"/>
    </row>
    <row r="49" spans="17:30">
      <c r="Q49" s="61"/>
      <c r="AD49" s="69"/>
    </row>
    <row r="50" spans="17:30">
      <c r="Q50" s="61"/>
      <c r="AD50" s="69"/>
    </row>
    <row r="51" spans="17:30">
      <c r="Q51" s="61"/>
      <c r="AD51" s="69"/>
    </row>
    <row r="52" spans="17:30">
      <c r="Q52" s="61"/>
      <c r="AD52" s="69"/>
    </row>
    <row r="53" spans="17:30">
      <c r="Q53" s="61"/>
      <c r="AD53" s="69"/>
    </row>
    <row r="54" spans="17:30">
      <c r="Q54" s="61"/>
      <c r="AD54" s="69"/>
    </row>
    <row r="55" spans="17:30">
      <c r="Q55" s="61"/>
      <c r="AD55" s="69"/>
    </row>
    <row r="56" spans="17:30">
      <c r="Q56" s="61"/>
      <c r="AD56" s="69"/>
    </row>
    <row r="57" spans="17:30">
      <c r="Q57" s="61"/>
      <c r="AD57" s="69"/>
    </row>
    <row r="58" spans="17:30">
      <c r="Q58" s="61"/>
      <c r="AD58" s="69"/>
    </row>
    <row r="59" spans="17:30">
      <c r="Q59" s="61"/>
      <c r="AD59" s="69"/>
    </row>
    <row r="60" spans="17:30">
      <c r="Q60" s="61"/>
      <c r="AD60" s="69"/>
    </row>
    <row r="61" spans="17:30">
      <c r="AD61" s="69"/>
    </row>
  </sheetData>
  <mergeCells count="11">
    <mergeCell ref="C9:D9"/>
    <mergeCell ref="E9:G9"/>
    <mergeCell ref="H9:I9"/>
    <mergeCell ref="Q9:T9"/>
    <mergeCell ref="X9:AA9"/>
    <mergeCell ref="AO9:AR9"/>
    <mergeCell ref="AS9:AV9"/>
    <mergeCell ref="AC26:AD26"/>
    <mergeCell ref="AB9:AE9"/>
    <mergeCell ref="AF9:AI9"/>
    <mergeCell ref="AK9:AM9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P4"/>
  <sheetViews>
    <sheetView workbookViewId="0">
      <selection activeCell="A2" sqref="A2"/>
    </sheetView>
  </sheetViews>
  <sheetFormatPr defaultRowHeight="12.75"/>
  <sheetData>
    <row r="2" spans="1:16">
      <c r="A2" s="67" t="s">
        <v>714</v>
      </c>
    </row>
    <row r="3" spans="1:16">
      <c r="B3">
        <v>3</v>
      </c>
      <c r="C3">
        <v>4</v>
      </c>
      <c r="D3">
        <v>5</v>
      </c>
      <c r="E3">
        <v>7</v>
      </c>
      <c r="F3">
        <v>8</v>
      </c>
      <c r="G3">
        <v>9</v>
      </c>
      <c r="H3">
        <v>10</v>
      </c>
      <c r="I3">
        <v>11</v>
      </c>
      <c r="J3">
        <v>12</v>
      </c>
      <c r="K3">
        <v>13</v>
      </c>
      <c r="L3">
        <v>14</v>
      </c>
      <c r="M3">
        <v>15</v>
      </c>
      <c r="N3">
        <v>16</v>
      </c>
      <c r="O3">
        <v>17</v>
      </c>
      <c r="P3">
        <v>18</v>
      </c>
    </row>
    <row r="4" spans="1:16">
      <c r="A4" t="str">
        <f>MID(A2,1,2)</f>
        <v>62</v>
      </c>
      <c r="B4" t="str">
        <f>MID($A$2,B3,1)</f>
        <v>X</v>
      </c>
      <c r="C4" t="str">
        <f t="shared" ref="C4:P4" si="0">MID($A$2,C3,1)</f>
        <v>D</v>
      </c>
      <c r="D4" t="str">
        <f>MID($A$2,D3,2)</f>
        <v>20</v>
      </c>
      <c r="E4" t="str">
        <f t="shared" si="0"/>
        <v>E</v>
      </c>
      <c r="F4" t="str">
        <f t="shared" si="0"/>
        <v>-</v>
      </c>
      <c r="G4" t="str">
        <f t="shared" si="0"/>
        <v>A</v>
      </c>
      <c r="H4" t="str">
        <f t="shared" si="0"/>
        <v>B</v>
      </c>
      <c r="I4" t="str">
        <f t="shared" si="0"/>
        <v>-</v>
      </c>
      <c r="J4" t="str">
        <f t="shared" si="0"/>
        <v>A</v>
      </c>
      <c r="K4" t="str">
        <f t="shared" si="0"/>
        <v>F</v>
      </c>
      <c r="L4" t="str">
        <f t="shared" si="0"/>
        <v>T</v>
      </c>
      <c r="M4" t="str">
        <f t="shared" si="0"/>
        <v>B</v>
      </c>
      <c r="N4" t="str">
        <f t="shared" si="0"/>
        <v>T</v>
      </c>
      <c r="O4" t="str">
        <f t="shared" si="0"/>
        <v>-</v>
      </c>
      <c r="P4" t="str">
        <f t="shared" si="0"/>
        <v>-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K73"/>
  <sheetViews>
    <sheetView showGridLines="0" tabSelected="1" view="pageBreakPreview" zoomScale="85" zoomScaleNormal="100" zoomScaleSheetLayoutView="85" workbookViewId="0">
      <selection activeCell="I32" sqref="I32"/>
    </sheetView>
  </sheetViews>
  <sheetFormatPr defaultRowHeight="12.75"/>
  <cols>
    <col min="1" max="1" width="9.28515625" style="7" bestFit="1" customWidth="1"/>
    <col min="2" max="2" width="29" style="5" customWidth="1"/>
    <col min="3" max="3" width="42.85546875" style="3" customWidth="1"/>
    <col min="4" max="4" width="16.85546875" style="3" customWidth="1"/>
    <col min="5" max="6" width="9.140625" style="3"/>
    <col min="7" max="7" width="10" style="3" customWidth="1"/>
    <col min="8" max="8" width="11.5703125" style="3" customWidth="1"/>
    <col min="9" max="9" width="16.42578125" style="3" customWidth="1"/>
    <col min="10" max="10" width="17.85546875" style="3" customWidth="1"/>
    <col min="11" max="11" width="7.5703125" style="3" customWidth="1"/>
    <col min="12" max="13" width="7" style="3" customWidth="1"/>
    <col min="14" max="15" width="9" style="3" customWidth="1"/>
    <col min="16" max="16" width="9.85546875" style="3" customWidth="1"/>
    <col min="17" max="17" width="11.42578125" style="3" customWidth="1"/>
    <col min="18" max="19" width="9.140625" style="3"/>
    <col min="20" max="20" width="52.85546875" style="3" customWidth="1"/>
    <col min="21" max="43" width="9.140625" style="4"/>
    <col min="44" max="50" width="9.140625" style="116" customWidth="1"/>
    <col min="51" max="51" width="14.28515625" style="116" customWidth="1"/>
    <col min="52" max="58" width="9.140625" style="116" customWidth="1"/>
    <col min="59" max="59" width="27.28515625" style="116" customWidth="1"/>
    <col min="60" max="63" width="9.140625" style="116" customWidth="1"/>
    <col min="64" max="64" width="14.5703125" style="116" customWidth="1"/>
    <col min="65" max="65" width="14" style="116" customWidth="1"/>
    <col min="66" max="86" width="9.140625" style="116" customWidth="1"/>
    <col min="87" max="89" width="9.140625" style="4"/>
    <col min="90" max="16384" width="9.140625" style="3"/>
  </cols>
  <sheetData>
    <row r="1" spans="1:89" s="1" customFormat="1" ht="44.25" customHeight="1">
      <c r="A1" s="143" t="s">
        <v>381</v>
      </c>
      <c r="B1" s="144" t="s">
        <v>30</v>
      </c>
      <c r="C1" s="144" t="s">
        <v>385</v>
      </c>
      <c r="D1" s="9"/>
      <c r="F1" s="32"/>
      <c r="G1" s="32"/>
      <c r="H1" s="33">
        <f>LEN(I31)</f>
        <v>49</v>
      </c>
      <c r="I1" s="32"/>
      <c r="J1" s="32"/>
      <c r="K1" s="32"/>
      <c r="L1" s="32"/>
      <c r="M1" s="32"/>
      <c r="N1" s="32"/>
      <c r="O1" s="32"/>
      <c r="P1" s="32"/>
      <c r="Q1" s="32"/>
      <c r="R1" s="32"/>
      <c r="U1" s="2"/>
      <c r="V1" s="2"/>
      <c r="W1" s="2"/>
      <c r="X1" s="2"/>
      <c r="Y1" s="2"/>
      <c r="Z1" s="52"/>
      <c r="AA1" s="52"/>
      <c r="AB1" s="5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14"/>
      <c r="AS1" s="114"/>
      <c r="AT1" s="114"/>
      <c r="AU1" s="114"/>
      <c r="AV1" s="115" t="s">
        <v>379</v>
      </c>
      <c r="AW1" s="115" t="s">
        <v>159</v>
      </c>
      <c r="AX1" s="115" t="s">
        <v>234</v>
      </c>
      <c r="AY1" s="115" t="s">
        <v>235</v>
      </c>
      <c r="AZ1" s="115" t="s">
        <v>236</v>
      </c>
      <c r="BA1" s="115" t="s">
        <v>237</v>
      </c>
      <c r="BB1" s="115" t="s">
        <v>238</v>
      </c>
      <c r="BC1" s="115" t="s">
        <v>239</v>
      </c>
      <c r="BD1" s="115" t="s">
        <v>240</v>
      </c>
      <c r="BE1" s="115" t="s">
        <v>105</v>
      </c>
      <c r="BF1" s="115" t="s">
        <v>241</v>
      </c>
      <c r="BG1" s="115" t="s">
        <v>151</v>
      </c>
      <c r="BH1" s="115" t="s">
        <v>242</v>
      </c>
      <c r="BI1" s="115" t="s">
        <v>243</v>
      </c>
      <c r="BJ1" s="115" t="s">
        <v>18</v>
      </c>
      <c r="BK1" s="115" t="s">
        <v>610</v>
      </c>
      <c r="BL1" s="115" t="s">
        <v>244</v>
      </c>
      <c r="BM1" s="115" t="s">
        <v>245</v>
      </c>
      <c r="BN1" s="115" t="s">
        <v>246</v>
      </c>
      <c r="BO1" s="115" t="s">
        <v>247</v>
      </c>
      <c r="BP1" s="115" t="s">
        <v>248</v>
      </c>
      <c r="BQ1" s="115" t="s">
        <v>249</v>
      </c>
      <c r="BR1" s="115" t="s">
        <v>4</v>
      </c>
      <c r="BS1" s="115" t="s">
        <v>250</v>
      </c>
      <c r="BT1" s="115" t="s">
        <v>251</v>
      </c>
      <c r="BU1" s="115" t="s">
        <v>157</v>
      </c>
      <c r="BV1" s="115" t="s">
        <v>252</v>
      </c>
      <c r="BW1" s="115" t="s">
        <v>253</v>
      </c>
      <c r="BX1" s="115" t="s">
        <v>254</v>
      </c>
      <c r="BY1" s="115" t="s">
        <v>255</v>
      </c>
      <c r="BZ1" s="115" t="s">
        <v>256</v>
      </c>
      <c r="CA1" s="115" t="s">
        <v>257</v>
      </c>
      <c r="CB1" s="115" t="s">
        <v>258</v>
      </c>
      <c r="CC1" s="115" t="s">
        <v>259</v>
      </c>
      <c r="CD1" s="115" t="s">
        <v>260</v>
      </c>
      <c r="CE1" s="115" t="s">
        <v>261</v>
      </c>
      <c r="CF1" s="115"/>
      <c r="CG1" s="114"/>
      <c r="CH1" s="114"/>
      <c r="CI1" s="2"/>
      <c r="CJ1" s="2"/>
      <c r="CK1" s="2"/>
    </row>
    <row r="2" spans="1:89" ht="19.5" customHeight="1">
      <c r="A2" s="143" t="s">
        <v>262</v>
      </c>
      <c r="B2" s="145" t="s">
        <v>382</v>
      </c>
      <c r="C2" s="160" t="s">
        <v>28</v>
      </c>
      <c r="D2" s="10"/>
      <c r="E2" s="8"/>
      <c r="F2" s="113"/>
      <c r="G2" s="158"/>
      <c r="H2" s="127"/>
      <c r="I2" s="128"/>
      <c r="J2" s="129"/>
      <c r="K2" s="130"/>
      <c r="L2" s="129"/>
      <c r="M2" s="129"/>
      <c r="N2" s="129"/>
      <c r="O2" s="129"/>
      <c r="P2" s="129"/>
      <c r="Q2" s="127"/>
      <c r="R2" s="131"/>
      <c r="S2" s="12"/>
      <c r="Z2" s="53"/>
      <c r="AA2" s="53" t="str">
        <f>LEFT(C2,2)</f>
        <v>PR</v>
      </c>
      <c r="AB2" s="53"/>
      <c r="AV2" s="117" t="s">
        <v>262</v>
      </c>
      <c r="AW2" s="117">
        <v>3</v>
      </c>
      <c r="AX2" s="117">
        <v>4</v>
      </c>
      <c r="AY2" s="117" t="s">
        <v>263</v>
      </c>
      <c r="AZ2" s="117" t="s">
        <v>264</v>
      </c>
      <c r="BA2" s="117" t="s">
        <v>265</v>
      </c>
      <c r="BB2" s="117" t="s">
        <v>266</v>
      </c>
      <c r="BC2" s="117" t="s">
        <v>267</v>
      </c>
      <c r="BD2" s="117" t="s">
        <v>268</v>
      </c>
      <c r="BE2" s="117" t="s">
        <v>106</v>
      </c>
      <c r="BF2" s="117" t="s">
        <v>269</v>
      </c>
      <c r="BG2" s="117" t="s">
        <v>152</v>
      </c>
      <c r="BH2" s="117" t="s">
        <v>270</v>
      </c>
      <c r="BI2" s="117" t="s">
        <v>271</v>
      </c>
      <c r="BJ2" s="117" t="s">
        <v>272</v>
      </c>
      <c r="BK2" s="118">
        <v>21</v>
      </c>
      <c r="BL2" s="118" t="s">
        <v>602</v>
      </c>
      <c r="BM2" s="118">
        <v>24</v>
      </c>
      <c r="BN2" s="118">
        <v>25</v>
      </c>
      <c r="BO2" s="118" t="s">
        <v>603</v>
      </c>
      <c r="BP2" s="118">
        <v>28</v>
      </c>
      <c r="BQ2" s="118">
        <v>29</v>
      </c>
      <c r="BR2" s="118">
        <v>30</v>
      </c>
      <c r="BS2" s="118">
        <v>31</v>
      </c>
      <c r="BT2" s="118">
        <v>32</v>
      </c>
      <c r="BU2" s="118" t="s">
        <v>604</v>
      </c>
      <c r="BV2" s="118">
        <v>35</v>
      </c>
      <c r="BW2" s="118">
        <v>36</v>
      </c>
      <c r="BX2" s="118">
        <v>37</v>
      </c>
      <c r="BY2" s="118" t="s">
        <v>605</v>
      </c>
      <c r="BZ2" s="118" t="s">
        <v>606</v>
      </c>
      <c r="CA2" s="118" t="s">
        <v>607</v>
      </c>
      <c r="CB2" s="118" t="s">
        <v>608</v>
      </c>
      <c r="CC2" s="118" t="s">
        <v>609</v>
      </c>
      <c r="CD2" s="118">
        <v>48</v>
      </c>
      <c r="CE2" s="118">
        <v>49</v>
      </c>
      <c r="CF2" s="117"/>
    </row>
    <row r="3" spans="1:89" ht="24" customHeight="1">
      <c r="A3" s="143">
        <v>3</v>
      </c>
      <c r="B3" s="144" t="s">
        <v>159</v>
      </c>
      <c r="C3" s="160" t="s">
        <v>55</v>
      </c>
      <c r="D3" s="10"/>
      <c r="E3" s="8"/>
      <c r="F3" s="113"/>
      <c r="G3" s="132"/>
      <c r="H3" s="113"/>
      <c r="Q3" s="113"/>
      <c r="R3" s="133"/>
      <c r="S3" s="12"/>
      <c r="Z3" s="53"/>
      <c r="AA3" s="53" t="str">
        <f>LEFT(C3,1)</f>
        <v>O</v>
      </c>
      <c r="AB3" s="53"/>
      <c r="AV3" s="116" t="s">
        <v>28</v>
      </c>
      <c r="AW3" s="116" t="s">
        <v>55</v>
      </c>
      <c r="AX3" s="116" t="s">
        <v>58</v>
      </c>
      <c r="AY3" s="116">
        <v>36</v>
      </c>
      <c r="AZ3" s="116" t="s">
        <v>221</v>
      </c>
      <c r="BA3" s="116" t="s">
        <v>273</v>
      </c>
      <c r="BB3" s="119" t="s">
        <v>612</v>
      </c>
      <c r="BC3" s="116" t="s">
        <v>58</v>
      </c>
      <c r="BD3" s="116" t="s">
        <v>273</v>
      </c>
      <c r="BE3" s="120" t="s">
        <v>621</v>
      </c>
      <c r="BF3" s="116" t="s">
        <v>273</v>
      </c>
      <c r="BG3" s="116" t="s">
        <v>298</v>
      </c>
      <c r="BH3" s="116" t="s">
        <v>273</v>
      </c>
      <c r="BI3" s="116" t="s">
        <v>309</v>
      </c>
      <c r="BJ3" s="116" t="s">
        <v>273</v>
      </c>
      <c r="BK3" s="116" t="s">
        <v>273</v>
      </c>
      <c r="BL3" s="116" t="s">
        <v>395</v>
      </c>
      <c r="BM3" s="116">
        <v>0</v>
      </c>
      <c r="BN3" s="116">
        <v>0</v>
      </c>
      <c r="BO3" s="121">
        <v>0</v>
      </c>
      <c r="BP3" s="116" t="s">
        <v>273</v>
      </c>
      <c r="BQ3" s="116" t="s">
        <v>273</v>
      </c>
      <c r="BR3" s="116">
        <v>0</v>
      </c>
      <c r="BS3" s="116" t="s">
        <v>273</v>
      </c>
      <c r="BT3" s="116">
        <v>0</v>
      </c>
      <c r="BU3" s="121">
        <v>0</v>
      </c>
      <c r="BV3" s="116" t="s">
        <v>273</v>
      </c>
      <c r="BW3" s="116">
        <v>0</v>
      </c>
      <c r="BX3" s="116" t="s">
        <v>273</v>
      </c>
      <c r="BY3" s="116" t="s">
        <v>273</v>
      </c>
      <c r="BZ3" s="116" t="s">
        <v>273</v>
      </c>
      <c r="CA3" s="116" t="s">
        <v>273</v>
      </c>
      <c r="CB3" s="116" t="s">
        <v>273</v>
      </c>
      <c r="CC3" s="116" t="s">
        <v>273</v>
      </c>
      <c r="CD3" s="116" t="s">
        <v>273</v>
      </c>
      <c r="CE3" s="116">
        <v>0</v>
      </c>
    </row>
    <row r="4" spans="1:89" ht="22.5" customHeight="1">
      <c r="A4" s="143">
        <v>4</v>
      </c>
      <c r="B4" s="144" t="s">
        <v>234</v>
      </c>
      <c r="C4" s="160" t="s">
        <v>68</v>
      </c>
      <c r="D4" s="10"/>
      <c r="F4" s="126"/>
      <c r="G4" s="134"/>
      <c r="H4" s="32"/>
      <c r="I4" s="141"/>
      <c r="J4" s="141"/>
      <c r="K4" s="141"/>
      <c r="L4" s="141"/>
      <c r="M4" s="141"/>
      <c r="N4" s="141"/>
      <c r="O4" s="141"/>
      <c r="P4" s="141"/>
      <c r="Q4" s="32"/>
      <c r="R4" s="135"/>
      <c r="S4" s="12"/>
      <c r="Z4" s="53"/>
      <c r="AA4" s="53" t="str">
        <f>LEFT(C4,1)</f>
        <v>W</v>
      </c>
      <c r="AB4" s="53"/>
      <c r="AW4" s="116" t="s">
        <v>57</v>
      </c>
      <c r="AX4" s="116" t="s">
        <v>68</v>
      </c>
      <c r="AY4" s="116">
        <v>48</v>
      </c>
      <c r="AZ4" s="116" t="s">
        <v>222</v>
      </c>
      <c r="BB4" s="119" t="s">
        <v>613</v>
      </c>
      <c r="BE4" s="120" t="s">
        <v>622</v>
      </c>
      <c r="BG4" s="116" t="s">
        <v>299</v>
      </c>
      <c r="BI4" s="116" t="s">
        <v>310</v>
      </c>
      <c r="BL4" s="116" t="s">
        <v>681</v>
      </c>
      <c r="BM4" s="116" t="s">
        <v>313</v>
      </c>
      <c r="BN4" s="116" t="s">
        <v>319</v>
      </c>
      <c r="BO4" s="116" t="s">
        <v>340</v>
      </c>
      <c r="BR4" s="116" t="s">
        <v>348</v>
      </c>
      <c r="BT4" s="116" t="s">
        <v>358</v>
      </c>
      <c r="BU4" s="120" t="s">
        <v>621</v>
      </c>
      <c r="BW4" s="116" t="s">
        <v>298</v>
      </c>
      <c r="CE4" s="116" t="s">
        <v>58</v>
      </c>
    </row>
    <row r="5" spans="1:89" ht="26.25">
      <c r="A5" s="143" t="s">
        <v>263</v>
      </c>
      <c r="B5" s="144" t="s">
        <v>235</v>
      </c>
      <c r="C5" s="161">
        <v>720</v>
      </c>
      <c r="D5" s="111" t="s">
        <v>753</v>
      </c>
      <c r="F5" s="30"/>
      <c r="G5" s="136"/>
      <c r="H5" s="8"/>
      <c r="I5" s="148"/>
      <c r="J5" s="149"/>
      <c r="K5" s="149"/>
      <c r="L5" s="149"/>
      <c r="M5" s="149"/>
      <c r="N5" s="149"/>
      <c r="O5" s="149"/>
      <c r="P5" s="150"/>
      <c r="Q5" s="12"/>
      <c r="R5" s="137"/>
      <c r="S5" s="12"/>
      <c r="Z5" s="53"/>
      <c r="AA5" s="56">
        <f>C5</f>
        <v>720</v>
      </c>
      <c r="AB5" s="57"/>
      <c r="AC5" s="6"/>
      <c r="AD5" s="6"/>
      <c r="AE5" s="6"/>
      <c r="AF5" s="6"/>
      <c r="AG5" s="6"/>
      <c r="AH5" s="6"/>
      <c r="AI5" s="6"/>
      <c r="AW5" s="116" t="s">
        <v>155</v>
      </c>
      <c r="AX5" s="116" t="s">
        <v>60</v>
      </c>
      <c r="AY5" s="116">
        <v>60</v>
      </c>
      <c r="AZ5" s="116" t="s">
        <v>223</v>
      </c>
      <c r="BB5" s="119" t="s">
        <v>614</v>
      </c>
      <c r="BE5" s="120" t="s">
        <v>623</v>
      </c>
      <c r="BG5" s="116" t="s">
        <v>300</v>
      </c>
      <c r="BI5" s="116" t="s">
        <v>311</v>
      </c>
      <c r="BL5" s="116" t="s">
        <v>365</v>
      </c>
      <c r="BM5" s="116" t="s">
        <v>314</v>
      </c>
      <c r="BN5" s="116" t="s">
        <v>320</v>
      </c>
      <c r="BO5" s="116" t="s">
        <v>341</v>
      </c>
      <c r="BR5" s="116" t="s">
        <v>349</v>
      </c>
      <c r="BT5" s="116" t="s">
        <v>357</v>
      </c>
      <c r="BU5" s="120" t="s">
        <v>622</v>
      </c>
      <c r="BW5" s="116" t="s">
        <v>299</v>
      </c>
      <c r="CE5" s="116" t="s">
        <v>85</v>
      </c>
    </row>
    <row r="6" spans="1:89" ht="18">
      <c r="A6" s="143" t="s">
        <v>264</v>
      </c>
      <c r="B6" s="144" t="s">
        <v>236</v>
      </c>
      <c r="C6" s="160" t="s">
        <v>774</v>
      </c>
      <c r="D6" s="11" t="str">
        <f>IF(OR($C$4="F",$C$4="W"), "Change to '0' fans","Select # fans")</f>
        <v>Change to '0' fans</v>
      </c>
      <c r="F6" s="8"/>
      <c r="G6" s="136"/>
      <c r="H6" s="8"/>
      <c r="I6" s="151"/>
      <c r="J6" s="142"/>
      <c r="K6" s="142"/>
      <c r="L6" s="142"/>
      <c r="M6" s="142"/>
      <c r="N6" s="142"/>
      <c r="O6" s="142"/>
      <c r="P6" s="152"/>
      <c r="Q6" s="12"/>
      <c r="R6" s="137"/>
      <c r="S6" s="12"/>
      <c r="Z6" s="53"/>
      <c r="AA6" s="53" t="str">
        <f>LEFT(C6,2)</f>
        <v>J0</v>
      </c>
      <c r="AB6" s="53"/>
      <c r="AX6" s="116" t="s">
        <v>61</v>
      </c>
      <c r="AY6" s="116">
        <v>72</v>
      </c>
      <c r="AZ6" s="116" t="s">
        <v>224</v>
      </c>
      <c r="BB6" s="119" t="s">
        <v>615</v>
      </c>
      <c r="BE6" s="120" t="s">
        <v>624</v>
      </c>
      <c r="BG6" s="116" t="s">
        <v>301</v>
      </c>
      <c r="BI6" s="116" t="s">
        <v>312</v>
      </c>
      <c r="BL6" s="116" t="s">
        <v>682</v>
      </c>
      <c r="BM6" s="116" t="s">
        <v>315</v>
      </c>
      <c r="BN6" s="116" t="s">
        <v>321</v>
      </c>
      <c r="BO6" s="116" t="s">
        <v>342</v>
      </c>
      <c r="BR6" s="116" t="s">
        <v>350</v>
      </c>
      <c r="BT6" s="116" t="s">
        <v>359</v>
      </c>
      <c r="BU6" s="120" t="s">
        <v>623</v>
      </c>
      <c r="BW6" s="116" t="s">
        <v>300</v>
      </c>
      <c r="CE6" s="116" t="s">
        <v>56</v>
      </c>
    </row>
    <row r="7" spans="1:89" ht="18">
      <c r="A7" s="143" t="s">
        <v>265</v>
      </c>
      <c r="B7" s="144" t="s">
        <v>237</v>
      </c>
      <c r="C7" s="160" t="s">
        <v>273</v>
      </c>
      <c r="D7" s="11"/>
      <c r="F7" s="8"/>
      <c r="G7" s="136"/>
      <c r="H7" s="8"/>
      <c r="I7" s="151"/>
      <c r="J7" s="142"/>
      <c r="K7" s="142"/>
      <c r="L7" s="142"/>
      <c r="M7" s="142"/>
      <c r="N7" s="142"/>
      <c r="O7" s="142"/>
      <c r="P7" s="152"/>
      <c r="Q7" s="12"/>
      <c r="R7" s="137"/>
      <c r="S7" s="12"/>
      <c r="Z7" s="53"/>
      <c r="AA7" s="53" t="str">
        <f>C7</f>
        <v>*</v>
      </c>
      <c r="AB7" s="53"/>
      <c r="AY7" s="116">
        <v>84</v>
      </c>
      <c r="AZ7" s="116" t="s">
        <v>225</v>
      </c>
      <c r="BB7" s="119" t="s">
        <v>616</v>
      </c>
      <c r="BE7" s="120" t="s">
        <v>625</v>
      </c>
      <c r="BG7" s="116" t="s">
        <v>302</v>
      </c>
      <c r="BI7" s="116" t="s">
        <v>41</v>
      </c>
      <c r="BL7" s="116" t="s">
        <v>683</v>
      </c>
      <c r="BM7" s="116" t="s">
        <v>316</v>
      </c>
      <c r="BN7" s="116" t="s">
        <v>322</v>
      </c>
      <c r="BO7" s="116" t="s">
        <v>343</v>
      </c>
      <c r="BR7" s="116" t="s">
        <v>351</v>
      </c>
      <c r="BT7" s="116" t="s">
        <v>360</v>
      </c>
      <c r="BU7" s="120" t="s">
        <v>624</v>
      </c>
      <c r="BW7" s="116" t="s">
        <v>301</v>
      </c>
      <c r="CE7" s="116" t="s">
        <v>86</v>
      </c>
    </row>
    <row r="8" spans="1:89" ht="18">
      <c r="A8" s="143" t="s">
        <v>266</v>
      </c>
      <c r="B8" s="144" t="s">
        <v>238</v>
      </c>
      <c r="C8" s="160" t="s">
        <v>612</v>
      </c>
      <c r="D8" s="11"/>
      <c r="F8" s="8"/>
      <c r="G8" s="136"/>
      <c r="H8" s="8"/>
      <c r="I8" s="151"/>
      <c r="J8" s="142"/>
      <c r="K8" s="142"/>
      <c r="L8" s="142"/>
      <c r="M8" s="142"/>
      <c r="N8" s="142"/>
      <c r="O8" s="142"/>
      <c r="P8" s="152"/>
      <c r="Q8" s="12"/>
      <c r="R8" s="137"/>
      <c r="S8" s="12"/>
      <c r="Z8" s="53"/>
      <c r="AA8" s="53" t="str">
        <f>LEFT(C8,1)</f>
        <v>2</v>
      </c>
      <c r="AB8" s="53"/>
      <c r="AY8" s="116">
        <v>96</v>
      </c>
      <c r="AZ8" s="116" t="s">
        <v>9</v>
      </c>
      <c r="BB8" s="119" t="s">
        <v>617</v>
      </c>
      <c r="BE8" s="120" t="s">
        <v>626</v>
      </c>
      <c r="BG8" s="116" t="s">
        <v>303</v>
      </c>
      <c r="BL8" s="116" t="s">
        <v>684</v>
      </c>
      <c r="BM8" s="116" t="s">
        <v>317</v>
      </c>
      <c r="BN8" s="116" t="s">
        <v>323</v>
      </c>
      <c r="BO8" s="116" t="s">
        <v>344</v>
      </c>
      <c r="BR8" s="116" t="s">
        <v>352</v>
      </c>
      <c r="BT8" s="116" t="s">
        <v>361</v>
      </c>
      <c r="BU8" s="120" t="s">
        <v>625</v>
      </c>
      <c r="BW8" s="116" t="s">
        <v>302</v>
      </c>
      <c r="CE8" s="116" t="s">
        <v>103</v>
      </c>
    </row>
    <row r="9" spans="1:89" ht="18">
      <c r="A9" s="143" t="s">
        <v>267</v>
      </c>
      <c r="B9" s="144" t="s">
        <v>239</v>
      </c>
      <c r="C9" s="160" t="s">
        <v>58</v>
      </c>
      <c r="D9" s="11"/>
      <c r="F9" s="8"/>
      <c r="G9" s="136"/>
      <c r="H9" s="8"/>
      <c r="I9" s="151"/>
      <c r="J9" s="142"/>
      <c r="K9" s="142"/>
      <c r="L9" s="142"/>
      <c r="M9" s="142"/>
      <c r="N9" s="142"/>
      <c r="O9" s="142"/>
      <c r="P9" s="152"/>
      <c r="Q9" s="12"/>
      <c r="R9" s="137"/>
      <c r="S9" s="12"/>
      <c r="Z9" s="53"/>
      <c r="AA9" s="53" t="str">
        <f>C9</f>
        <v>A</v>
      </c>
      <c r="AB9" s="53"/>
      <c r="AY9" s="116">
        <v>120</v>
      </c>
      <c r="AZ9" s="116" t="s">
        <v>10</v>
      </c>
      <c r="BB9" s="119" t="s">
        <v>41</v>
      </c>
      <c r="BE9" s="120" t="s">
        <v>627</v>
      </c>
      <c r="BG9" s="116" t="s">
        <v>304</v>
      </c>
      <c r="BL9" s="116" t="s">
        <v>685</v>
      </c>
      <c r="BM9" s="116" t="s">
        <v>318</v>
      </c>
      <c r="BN9" s="116" t="s">
        <v>324</v>
      </c>
      <c r="BO9" s="116" t="s">
        <v>345</v>
      </c>
      <c r="BR9" s="116" t="s">
        <v>353</v>
      </c>
      <c r="BT9" s="116" t="s">
        <v>362</v>
      </c>
      <c r="BU9" s="120" t="s">
        <v>626</v>
      </c>
      <c r="BW9" s="116" t="s">
        <v>303</v>
      </c>
      <c r="CE9" s="116" t="s">
        <v>61</v>
      </c>
    </row>
    <row r="10" spans="1:89" ht="18">
      <c r="A10" s="143" t="s">
        <v>268</v>
      </c>
      <c r="B10" s="144" t="s">
        <v>380</v>
      </c>
      <c r="C10" s="160" t="s">
        <v>273</v>
      </c>
      <c r="D10" s="11"/>
      <c r="F10" s="8"/>
      <c r="G10" s="136"/>
      <c r="H10" s="8"/>
      <c r="I10" s="151"/>
      <c r="J10" s="142"/>
      <c r="K10" s="142"/>
      <c r="L10" s="142"/>
      <c r="M10" s="142"/>
      <c r="N10" s="142"/>
      <c r="O10" s="142"/>
      <c r="P10" s="152"/>
      <c r="Q10" s="12"/>
      <c r="R10" s="137"/>
      <c r="S10" s="12"/>
      <c r="Z10" s="53"/>
      <c r="AA10" s="53" t="str">
        <f>C10</f>
        <v>*</v>
      </c>
      <c r="AB10" s="53"/>
      <c r="AY10" s="116">
        <v>150</v>
      </c>
      <c r="AZ10" s="116" t="s">
        <v>26</v>
      </c>
      <c r="BE10" s="120" t="s">
        <v>628</v>
      </c>
      <c r="BG10" s="116" t="s">
        <v>305</v>
      </c>
      <c r="BL10" s="116" t="s">
        <v>378</v>
      </c>
      <c r="BM10" s="116" t="s">
        <v>41</v>
      </c>
      <c r="BN10" s="116" t="s">
        <v>325</v>
      </c>
      <c r="BO10" s="116" t="s">
        <v>346</v>
      </c>
      <c r="BR10" s="116" t="s">
        <v>354</v>
      </c>
      <c r="BT10" s="116" t="s">
        <v>363</v>
      </c>
      <c r="BU10" s="120" t="s">
        <v>627</v>
      </c>
      <c r="BW10" s="116" t="s">
        <v>304</v>
      </c>
      <c r="CE10" s="116" t="s">
        <v>66</v>
      </c>
    </row>
    <row r="11" spans="1:89" ht="18">
      <c r="A11" s="143" t="s">
        <v>106</v>
      </c>
      <c r="B11" s="144" t="s">
        <v>105</v>
      </c>
      <c r="C11" s="160" t="s">
        <v>629</v>
      </c>
      <c r="D11" s="11" t="str">
        <f>IF(OR(LEFT(C11,1)="A",LEFT(C11,1)="B"), "Select Motor HP (Code 17)", "Code 17=M")</f>
        <v>Select Motor HP (Code 17)</v>
      </c>
      <c r="F11" s="8"/>
      <c r="G11" s="136"/>
      <c r="H11" s="8"/>
      <c r="I11" s="151"/>
      <c r="J11" s="142"/>
      <c r="K11" s="142"/>
      <c r="L11" s="142"/>
      <c r="M11" s="142"/>
      <c r="N11" s="142"/>
      <c r="O11" s="142"/>
      <c r="P11" s="152"/>
      <c r="Q11" s="12"/>
      <c r="R11" s="137"/>
      <c r="S11" s="12"/>
      <c r="Z11" s="53"/>
      <c r="AA11" s="53" t="str">
        <f>LEFT(C11,2)</f>
        <v>AJ</v>
      </c>
      <c r="AB11" s="53"/>
      <c r="AT11" s="116" t="s">
        <v>233</v>
      </c>
      <c r="AY11" s="116">
        <v>180</v>
      </c>
      <c r="AZ11" s="116" t="s">
        <v>11</v>
      </c>
      <c r="BE11" s="120" t="s">
        <v>629</v>
      </c>
      <c r="BG11" s="116" t="s">
        <v>306</v>
      </c>
      <c r="BL11" s="116" t="s">
        <v>368</v>
      </c>
      <c r="BN11" s="116" t="s">
        <v>326</v>
      </c>
      <c r="BO11" s="116" t="s">
        <v>347</v>
      </c>
      <c r="BR11" s="116" t="s">
        <v>355</v>
      </c>
      <c r="BT11" s="116" t="s">
        <v>364</v>
      </c>
      <c r="BU11" s="120" t="s">
        <v>628</v>
      </c>
      <c r="BW11" s="116" t="s">
        <v>305</v>
      </c>
      <c r="CE11" s="116" t="s">
        <v>60</v>
      </c>
    </row>
    <row r="12" spans="1:89" ht="18">
      <c r="A12" s="143" t="s">
        <v>269</v>
      </c>
      <c r="B12" s="144" t="s">
        <v>241</v>
      </c>
      <c r="C12" s="160" t="s">
        <v>273</v>
      </c>
      <c r="D12" s="11"/>
      <c r="F12" s="8"/>
      <c r="G12" s="136"/>
      <c r="H12" s="8"/>
      <c r="I12" s="151"/>
      <c r="J12" s="142"/>
      <c r="K12" s="142"/>
      <c r="L12" s="142"/>
      <c r="M12" s="142"/>
      <c r="N12" s="142"/>
      <c r="O12" s="142"/>
      <c r="P12" s="152"/>
      <c r="Q12" s="12"/>
      <c r="R12" s="137"/>
      <c r="S12" s="12"/>
      <c r="Z12" s="53"/>
      <c r="AA12" s="53" t="str">
        <f>C12</f>
        <v>*</v>
      </c>
      <c r="AB12" s="53"/>
      <c r="AY12" s="116">
        <v>210</v>
      </c>
      <c r="AZ12" s="116" t="s">
        <v>12</v>
      </c>
      <c r="BE12" s="122" t="s">
        <v>630</v>
      </c>
      <c r="BG12" s="123" t="s">
        <v>307</v>
      </c>
      <c r="BL12" s="116" t="s">
        <v>366</v>
      </c>
      <c r="BN12" s="116" t="s">
        <v>327</v>
      </c>
      <c r="BO12" s="116" t="s">
        <v>663</v>
      </c>
      <c r="BR12" s="116" t="s">
        <v>356</v>
      </c>
      <c r="BT12" s="116" t="s">
        <v>41</v>
      </c>
      <c r="BU12" s="120" t="s">
        <v>629</v>
      </c>
      <c r="BW12" s="116" t="s">
        <v>306</v>
      </c>
      <c r="CE12" s="116" t="s">
        <v>41</v>
      </c>
    </row>
    <row r="13" spans="1:89" ht="18">
      <c r="A13" s="143" t="s">
        <v>152</v>
      </c>
      <c r="B13" s="144" t="s">
        <v>151</v>
      </c>
      <c r="C13" s="160" t="s">
        <v>305</v>
      </c>
      <c r="D13" s="11" t="str">
        <f>IF(OR(LEFT(C11,1)="C",LEFT(C11,1)="D"),"Code 17=M","Select Motor")</f>
        <v>Select Motor</v>
      </c>
      <c r="F13" s="8"/>
      <c r="G13" s="136"/>
      <c r="H13" s="8"/>
      <c r="I13" s="151"/>
      <c r="J13" s="142"/>
      <c r="K13" s="142"/>
      <c r="L13" s="142"/>
      <c r="M13" s="142"/>
      <c r="N13" s="142"/>
      <c r="O13" s="142"/>
      <c r="P13" s="152"/>
      <c r="Q13" s="12"/>
      <c r="R13" s="137"/>
      <c r="S13" s="12"/>
      <c r="Z13" s="53"/>
      <c r="AA13" s="53" t="str">
        <f>LEFT(C13,1)</f>
        <v>H</v>
      </c>
      <c r="AB13" s="53"/>
      <c r="AT13" s="116">
        <f>LEN(AT17)</f>
        <v>49</v>
      </c>
      <c r="AY13" s="116">
        <v>240</v>
      </c>
      <c r="AZ13" s="116" t="s">
        <v>13</v>
      </c>
      <c r="BE13" s="120" t="s">
        <v>631</v>
      </c>
      <c r="BG13" s="123" t="s">
        <v>308</v>
      </c>
      <c r="BL13" s="116" t="s">
        <v>367</v>
      </c>
      <c r="BN13" s="116" t="s">
        <v>328</v>
      </c>
      <c r="BO13" s="116" t="s">
        <v>664</v>
      </c>
      <c r="BR13" s="116" t="s">
        <v>651</v>
      </c>
      <c r="BU13" s="122" t="s">
        <v>630</v>
      </c>
      <c r="BW13" s="123" t="s">
        <v>307</v>
      </c>
    </row>
    <row r="14" spans="1:89" ht="18">
      <c r="A14" s="143" t="s">
        <v>270</v>
      </c>
      <c r="B14" s="144" t="s">
        <v>242</v>
      </c>
      <c r="C14" s="160" t="s">
        <v>273</v>
      </c>
      <c r="D14" s="11"/>
      <c r="F14" s="8"/>
      <c r="G14" s="136"/>
      <c r="H14" s="8"/>
      <c r="I14" s="151"/>
      <c r="J14" s="142"/>
      <c r="K14" s="142"/>
      <c r="L14" s="142"/>
      <c r="M14" s="142"/>
      <c r="N14" s="142"/>
      <c r="O14" s="142"/>
      <c r="P14" s="152"/>
      <c r="Q14" s="12"/>
      <c r="R14" s="137"/>
      <c r="S14" s="12"/>
      <c r="Z14" s="53"/>
      <c r="AA14" s="53" t="str">
        <f>C14</f>
        <v>*</v>
      </c>
      <c r="AB14" s="53"/>
      <c r="AY14" s="116">
        <v>300</v>
      </c>
      <c r="AZ14" s="116" t="s">
        <v>94</v>
      </c>
      <c r="BE14" s="120" t="s">
        <v>632</v>
      </c>
      <c r="BG14" s="116" t="s">
        <v>297</v>
      </c>
      <c r="BL14" s="116" t="s">
        <v>369</v>
      </c>
      <c r="BN14" s="116" t="s">
        <v>329</v>
      </c>
      <c r="BO14" s="116" t="s">
        <v>665</v>
      </c>
      <c r="BR14" s="116" t="s">
        <v>652</v>
      </c>
      <c r="BU14" s="120" t="s">
        <v>631</v>
      </c>
      <c r="BW14" s="123" t="s">
        <v>308</v>
      </c>
    </row>
    <row r="15" spans="1:89" ht="18">
      <c r="A15" s="143" t="s">
        <v>271</v>
      </c>
      <c r="B15" s="144" t="s">
        <v>243</v>
      </c>
      <c r="C15" s="160" t="s">
        <v>310</v>
      </c>
      <c r="D15" s="11" t="str">
        <f>IF(OR(C4="A",C4="H",C4="W"),"Select Evaporator","Select Remote Evap or Water Coil")</f>
        <v>Select Evaporator</v>
      </c>
      <c r="F15" s="8"/>
      <c r="G15" s="136"/>
      <c r="H15" s="8"/>
      <c r="I15" s="151"/>
      <c r="J15" s="142"/>
      <c r="K15" s="142"/>
      <c r="L15" s="142"/>
      <c r="M15" s="142"/>
      <c r="N15" s="142"/>
      <c r="O15" s="142"/>
      <c r="P15" s="152"/>
      <c r="Q15" s="12"/>
      <c r="R15" s="137"/>
      <c r="S15" s="12"/>
      <c r="Z15" s="53"/>
      <c r="AA15" s="53" t="str">
        <f>LEFT(C15,1)</f>
        <v>B</v>
      </c>
      <c r="AB15" s="53"/>
      <c r="AT15" s="124"/>
      <c r="AY15" s="116">
        <v>360</v>
      </c>
      <c r="AZ15" s="116" t="s">
        <v>27</v>
      </c>
      <c r="BE15" s="120" t="s">
        <v>633</v>
      </c>
      <c r="BG15" s="116" t="s">
        <v>41</v>
      </c>
      <c r="BL15" s="116" t="s">
        <v>370</v>
      </c>
      <c r="BN15" s="116" t="s">
        <v>330</v>
      </c>
      <c r="BO15" s="116" t="s">
        <v>666</v>
      </c>
      <c r="BR15" s="116" t="s">
        <v>653</v>
      </c>
      <c r="BU15" s="120" t="s">
        <v>632</v>
      </c>
      <c r="BW15" s="116" t="s">
        <v>297</v>
      </c>
    </row>
    <row r="16" spans="1:89" ht="18">
      <c r="A16" s="143" t="s">
        <v>272</v>
      </c>
      <c r="B16" s="144" t="s">
        <v>18</v>
      </c>
      <c r="C16" s="160" t="s">
        <v>273</v>
      </c>
      <c r="D16" s="11"/>
      <c r="F16" s="8"/>
      <c r="G16" s="136"/>
      <c r="H16" s="8"/>
      <c r="I16" s="151"/>
      <c r="J16" s="142"/>
      <c r="K16" s="142"/>
      <c r="L16" s="142"/>
      <c r="M16" s="142"/>
      <c r="N16" s="142"/>
      <c r="O16" s="142"/>
      <c r="P16" s="152"/>
      <c r="Q16" s="12"/>
      <c r="R16" s="137"/>
      <c r="S16" s="12"/>
      <c r="Z16" s="53"/>
      <c r="AA16" s="53" t="str">
        <f>LEFT(C16,1)</f>
        <v>*</v>
      </c>
      <c r="AB16" s="53"/>
      <c r="AY16" s="116">
        <v>420</v>
      </c>
      <c r="AZ16" s="116" t="s">
        <v>14</v>
      </c>
      <c r="BE16" s="120" t="s">
        <v>634</v>
      </c>
      <c r="BL16" s="116" t="s">
        <v>371</v>
      </c>
      <c r="BN16" s="116" t="s">
        <v>331</v>
      </c>
      <c r="BO16" s="116" t="s">
        <v>667</v>
      </c>
      <c r="BR16" s="116" t="s">
        <v>654</v>
      </c>
      <c r="BU16" s="120" t="s">
        <v>633</v>
      </c>
      <c r="BW16" s="116" t="s">
        <v>41</v>
      </c>
    </row>
    <row r="17" spans="1:73" ht="26.25">
      <c r="A17" s="143">
        <v>21</v>
      </c>
      <c r="B17" s="144" t="s">
        <v>611</v>
      </c>
      <c r="C17" s="160" t="s">
        <v>273</v>
      </c>
      <c r="D17" s="112" t="str">
        <f>IF(OR(LEFT(C15,1)="C",LEFT(C15,1)="D"),"RH/SC NOT POSSIBLE","Dehumidication option available")</f>
        <v>Dehumidication option available</v>
      </c>
      <c r="F17" s="8"/>
      <c r="G17" s="136"/>
      <c r="H17" s="8"/>
      <c r="I17" s="151"/>
      <c r="J17" s="142"/>
      <c r="K17" s="142"/>
      <c r="L17" s="142"/>
      <c r="M17" s="142"/>
      <c r="N17" s="142"/>
      <c r="O17" s="142"/>
      <c r="P17" s="152"/>
      <c r="Q17" s="12"/>
      <c r="R17" s="137"/>
      <c r="S17" s="12"/>
      <c r="Z17" s="53"/>
      <c r="AA17" s="31" t="s">
        <v>273</v>
      </c>
      <c r="AB17" s="53"/>
      <c r="AT17" s="116" t="str">
        <f>AA2&amp;AA3&amp;AA4&amp;TEXT(AA5,"000")&amp;AA6&amp;AA7&amp;AA8&amp;AA9&amp;AA10&amp;AA11&amp;AA12&amp;AA13&amp;AA14&amp;AA15&amp;AA16&amp;AA17&amp;TEXT(AA18,"00")&amp;AA19&amp;AA20&amp;TEXT(AA21,"00")&amp;AA22&amp;AA23&amp;AA24&amp;AA25&amp;AA26&amp;TEXT(AA27,"00")&amp;AA28&amp;AA29&amp;AA30&amp;AA31&amp;AA32&amp;AA33&amp;AA34&amp;AA35&amp;AA36&amp;AA37</f>
        <v>PROW720J0*2A*AJ*H*B**DCAM00**0*D00*0************0</v>
      </c>
      <c r="AY17" s="116">
        <v>480</v>
      </c>
      <c r="AZ17" s="116" t="s">
        <v>15</v>
      </c>
      <c r="BE17" s="120" t="s">
        <v>635</v>
      </c>
      <c r="BL17" s="116" t="s">
        <v>680</v>
      </c>
      <c r="BN17" s="116" t="s">
        <v>332</v>
      </c>
      <c r="BO17" s="116" t="s">
        <v>668</v>
      </c>
      <c r="BR17" s="116" t="s">
        <v>655</v>
      </c>
      <c r="BU17" s="120" t="s">
        <v>634</v>
      </c>
    </row>
    <row r="18" spans="1:73" ht="18">
      <c r="A18" s="143" t="s">
        <v>602</v>
      </c>
      <c r="B18" s="144" t="s">
        <v>244</v>
      </c>
      <c r="C18" s="162" t="s">
        <v>680</v>
      </c>
      <c r="D18" s="11" t="str">
        <f>IF(C19=0,"",IF(LEFT(C19,1)="F","Code 24 &amp; 25-26 = 0","Select Gas or Elec.HeatCap."))</f>
        <v>Select Gas or Elec.HeatCap.</v>
      </c>
      <c r="F18" s="8"/>
      <c r="G18" s="136"/>
      <c r="H18" s="8"/>
      <c r="I18" s="153"/>
      <c r="J18" s="154"/>
      <c r="K18" s="154"/>
      <c r="L18" s="154"/>
      <c r="M18" s="154"/>
      <c r="N18" s="154"/>
      <c r="O18" s="154"/>
      <c r="P18" s="155"/>
      <c r="Q18" s="12"/>
      <c r="R18" s="137"/>
      <c r="S18" s="12"/>
      <c r="Z18" s="53"/>
      <c r="AA18" s="54" t="str">
        <f>LEFT(C18,2)</f>
        <v>DC</v>
      </c>
      <c r="AB18" s="53"/>
      <c r="AY18" s="116">
        <v>540</v>
      </c>
      <c r="AZ18" s="116" t="s">
        <v>91</v>
      </c>
      <c r="BE18" s="120" t="s">
        <v>636</v>
      </c>
      <c r="BL18" s="116" t="s">
        <v>372</v>
      </c>
      <c r="BN18" s="116" t="s">
        <v>333</v>
      </c>
      <c r="BO18" s="116" t="s">
        <v>669</v>
      </c>
      <c r="BR18" s="116" t="s">
        <v>656</v>
      </c>
      <c r="BU18" s="120" t="s">
        <v>635</v>
      </c>
    </row>
    <row r="19" spans="1:73" ht="18">
      <c r="A19" s="143">
        <v>24</v>
      </c>
      <c r="B19" s="144" t="s">
        <v>245</v>
      </c>
      <c r="C19" s="160" t="s">
        <v>313</v>
      </c>
      <c r="D19" s="11" t="str">
        <f>IF(C20=0,"","Code 23 = Elec. Heat")</f>
        <v>Code 23 = Elec. Heat</v>
      </c>
      <c r="F19" s="8"/>
      <c r="G19" s="136"/>
      <c r="H19" s="8"/>
      <c r="I19" s="142"/>
      <c r="J19" s="142"/>
      <c r="K19" s="142"/>
      <c r="L19" s="142"/>
      <c r="M19" s="142"/>
      <c r="N19" s="142"/>
      <c r="O19" s="142"/>
      <c r="P19" s="142"/>
      <c r="Q19" s="12"/>
      <c r="R19" s="137"/>
      <c r="S19" s="12"/>
      <c r="Z19" s="53"/>
      <c r="AA19" s="54" t="str">
        <f>LEFT(C19,1)</f>
        <v>A</v>
      </c>
      <c r="AB19" s="53"/>
      <c r="AY19" s="116">
        <v>600</v>
      </c>
      <c r="AZ19" s="116" t="s">
        <v>16</v>
      </c>
      <c r="BE19" s="120" t="s">
        <v>637</v>
      </c>
      <c r="BL19" s="116" t="s">
        <v>373</v>
      </c>
      <c r="BN19" s="116" t="s">
        <v>334</v>
      </c>
      <c r="BO19" s="116" t="s">
        <v>670</v>
      </c>
      <c r="BR19" s="116" t="s">
        <v>657</v>
      </c>
      <c r="BU19" s="120" t="s">
        <v>636</v>
      </c>
    </row>
    <row r="20" spans="1:73" ht="18">
      <c r="A20" s="143">
        <v>25</v>
      </c>
      <c r="B20" s="144" t="s">
        <v>246</v>
      </c>
      <c r="C20" s="160" t="s">
        <v>330</v>
      </c>
      <c r="D20" s="11" t="str">
        <f>IF(C21=0,"","Code 23 = Gas. Heat")</f>
        <v/>
      </c>
      <c r="F20" s="8"/>
      <c r="G20" s="136"/>
      <c r="H20" s="8"/>
      <c r="I20" s="142"/>
      <c r="J20" s="142"/>
      <c r="K20" s="142"/>
      <c r="L20" s="142"/>
      <c r="M20" s="142"/>
      <c r="N20" s="142"/>
      <c r="O20" s="142"/>
      <c r="P20" s="142"/>
      <c r="Q20" s="12"/>
      <c r="R20" s="137"/>
      <c r="S20" s="12"/>
      <c r="Z20" s="53"/>
      <c r="AA20" s="54" t="str">
        <f>LEFT(C20,1)</f>
        <v>M</v>
      </c>
      <c r="AB20" s="53"/>
      <c r="AY20" s="116">
        <v>660</v>
      </c>
      <c r="AZ20" s="116" t="s">
        <v>17</v>
      </c>
      <c r="BE20" s="120" t="s">
        <v>638</v>
      </c>
      <c r="BL20" s="116" t="s">
        <v>374</v>
      </c>
      <c r="BN20" s="116" t="s">
        <v>335</v>
      </c>
      <c r="BO20" s="116" t="s">
        <v>671</v>
      </c>
      <c r="BR20" s="116" t="s">
        <v>658</v>
      </c>
      <c r="BU20" s="120" t="s">
        <v>637</v>
      </c>
    </row>
    <row r="21" spans="1:73" ht="18">
      <c r="A21" s="143" t="s">
        <v>603</v>
      </c>
      <c r="B21" s="144" t="s">
        <v>247</v>
      </c>
      <c r="C21" s="162">
        <v>0</v>
      </c>
      <c r="D21" s="11"/>
      <c r="F21" s="8"/>
      <c r="G21" s="136"/>
      <c r="H21" s="8"/>
      <c r="I21" s="142"/>
      <c r="J21" s="142"/>
      <c r="K21" s="142"/>
      <c r="L21" s="142"/>
      <c r="M21" s="142"/>
      <c r="N21" s="142"/>
      <c r="O21" s="142"/>
      <c r="P21" s="142"/>
      <c r="Q21" s="12"/>
      <c r="R21" s="137"/>
      <c r="S21" s="12"/>
      <c r="Z21" s="53"/>
      <c r="AA21" s="54" t="str">
        <f>LEFT(C21,2)</f>
        <v>0</v>
      </c>
      <c r="AB21" s="53"/>
      <c r="AY21" s="116">
        <v>720</v>
      </c>
      <c r="AZ21" s="116" t="s">
        <v>219</v>
      </c>
      <c r="BE21" s="120" t="s">
        <v>639</v>
      </c>
      <c r="BL21" s="116" t="s">
        <v>375</v>
      </c>
      <c r="BN21" s="116" t="s">
        <v>336</v>
      </c>
      <c r="BO21" s="116" t="s">
        <v>672</v>
      </c>
      <c r="BR21" s="116" t="s">
        <v>659</v>
      </c>
      <c r="BU21" s="120" t="s">
        <v>638</v>
      </c>
    </row>
    <row r="22" spans="1:73" ht="18">
      <c r="A22" s="143">
        <v>28</v>
      </c>
      <c r="B22" s="144" t="s">
        <v>248</v>
      </c>
      <c r="C22" s="160" t="s">
        <v>273</v>
      </c>
      <c r="D22" s="11"/>
      <c r="F22" s="8"/>
      <c r="G22" s="136"/>
      <c r="H22" s="8"/>
      <c r="I22" s="142"/>
      <c r="J22" s="142"/>
      <c r="K22" s="142"/>
      <c r="L22" s="142"/>
      <c r="M22" s="142"/>
      <c r="N22" s="142"/>
      <c r="O22" s="142"/>
      <c r="P22" s="142"/>
      <c r="Q22" s="12"/>
      <c r="R22" s="137"/>
      <c r="S22" s="12"/>
      <c r="Z22" s="53"/>
      <c r="AA22" s="53" t="str">
        <f>LEFT(C22,1)</f>
        <v>*</v>
      </c>
      <c r="AB22" s="53"/>
      <c r="AY22" s="116">
        <v>780</v>
      </c>
      <c r="AZ22" s="116" t="s">
        <v>220</v>
      </c>
      <c r="BE22" s="122" t="s">
        <v>640</v>
      </c>
      <c r="BL22" s="116" t="s">
        <v>686</v>
      </c>
      <c r="BN22" s="116" t="s">
        <v>337</v>
      </c>
      <c r="BO22" s="116" t="s">
        <v>673</v>
      </c>
      <c r="BR22" s="116" t="s">
        <v>660</v>
      </c>
      <c r="BU22" s="120" t="s">
        <v>639</v>
      </c>
    </row>
    <row r="23" spans="1:73" ht="18">
      <c r="A23" s="143">
        <v>29</v>
      </c>
      <c r="B23" s="144" t="s">
        <v>249</v>
      </c>
      <c r="C23" s="160" t="s">
        <v>273</v>
      </c>
      <c r="D23" s="11" t="str">
        <f>IF(LEFT(C24,1)="0","","Select Exhaust Fan")</f>
        <v/>
      </c>
      <c r="F23" s="8"/>
      <c r="G23" s="136"/>
      <c r="H23" s="8"/>
      <c r="I23" s="142"/>
      <c r="J23" s="142"/>
      <c r="K23" s="142"/>
      <c r="L23" s="142"/>
      <c r="M23" s="142"/>
      <c r="N23" s="142"/>
      <c r="O23" s="142"/>
      <c r="P23" s="142"/>
      <c r="Q23" s="12"/>
      <c r="R23" s="137"/>
      <c r="S23" s="12"/>
      <c r="Z23" s="53"/>
      <c r="AA23" s="53" t="str">
        <f>LEFT(C23,1)</f>
        <v>*</v>
      </c>
      <c r="AB23" s="53"/>
      <c r="AY23" s="116">
        <v>840</v>
      </c>
      <c r="AZ23" s="116" t="s">
        <v>204</v>
      </c>
      <c r="BE23" s="120" t="s">
        <v>641</v>
      </c>
      <c r="BL23" s="116" t="s">
        <v>376</v>
      </c>
      <c r="BN23" s="116" t="s">
        <v>338</v>
      </c>
      <c r="BO23" s="116" t="s">
        <v>674</v>
      </c>
      <c r="BR23" s="116" t="s">
        <v>661</v>
      </c>
      <c r="BU23" s="122" t="s">
        <v>640</v>
      </c>
    </row>
    <row r="24" spans="1:73" ht="18">
      <c r="A24" s="143">
        <v>30</v>
      </c>
      <c r="B24" s="144" t="s">
        <v>4</v>
      </c>
      <c r="C24" s="160">
        <v>0</v>
      </c>
      <c r="D24" s="11"/>
      <c r="F24" s="8"/>
      <c r="G24" s="136"/>
      <c r="I24" s="1"/>
      <c r="J24" s="1"/>
      <c r="K24" s="1"/>
      <c r="L24" s="1"/>
      <c r="M24" s="1"/>
      <c r="N24" s="1"/>
      <c r="O24" s="1"/>
      <c r="P24" s="1"/>
      <c r="R24" s="137"/>
      <c r="S24" s="12"/>
      <c r="Z24" s="53"/>
      <c r="AA24" s="53" t="str">
        <f>LEFT(C24,1)</f>
        <v>0</v>
      </c>
      <c r="AB24" s="53"/>
      <c r="AZ24" s="116" t="s">
        <v>544</v>
      </c>
      <c r="BE24" s="120" t="s">
        <v>274</v>
      </c>
      <c r="BL24" s="116" t="s">
        <v>377</v>
      </c>
      <c r="BN24" s="116" t="s">
        <v>339</v>
      </c>
      <c r="BO24" s="116" t="s">
        <v>675</v>
      </c>
      <c r="BR24" s="116" t="s">
        <v>662</v>
      </c>
      <c r="BU24" s="120" t="s">
        <v>641</v>
      </c>
    </row>
    <row r="25" spans="1:73" ht="18">
      <c r="A25" s="143">
        <v>31</v>
      </c>
      <c r="B25" s="144" t="s">
        <v>250</v>
      </c>
      <c r="C25" s="160" t="s">
        <v>273</v>
      </c>
      <c r="D25" s="11"/>
      <c r="F25" s="8"/>
      <c r="G25" s="138"/>
      <c r="H25" s="156" t="s">
        <v>770</v>
      </c>
      <c r="I25" s="139"/>
      <c r="J25" s="139"/>
      <c r="K25" s="139"/>
      <c r="L25" s="139"/>
      <c r="M25" s="139"/>
      <c r="N25" s="139"/>
      <c r="O25" s="139"/>
      <c r="P25" s="139"/>
      <c r="Q25" s="139"/>
      <c r="R25" s="140"/>
      <c r="S25" s="12"/>
      <c r="Z25" s="53"/>
      <c r="AA25" s="53" t="str">
        <f>LEFT(C25,1)</f>
        <v>*</v>
      </c>
      <c r="AB25" s="53"/>
      <c r="AZ25" s="116" t="s">
        <v>545</v>
      </c>
      <c r="BE25" s="120" t="s">
        <v>275</v>
      </c>
      <c r="BL25" s="116" t="s">
        <v>150</v>
      </c>
      <c r="BN25" s="116" t="s">
        <v>41</v>
      </c>
      <c r="BO25" s="116" t="s">
        <v>676</v>
      </c>
      <c r="BU25" s="120" t="s">
        <v>274</v>
      </c>
    </row>
    <row r="26" spans="1:73" ht="18">
      <c r="A26" s="143">
        <v>32</v>
      </c>
      <c r="B26" s="144" t="s">
        <v>251</v>
      </c>
      <c r="C26" s="160" t="s">
        <v>360</v>
      </c>
      <c r="D26" s="11" t="str">
        <f>IF(C27=0,"",IF(OR(LEFT(C27,1)="A",LEFT(C27,1)="B"), "Select Motor HP (Code 35)", "Code 35=M"))</f>
        <v/>
      </c>
      <c r="G26" s="40"/>
      <c r="H26" s="41"/>
      <c r="I26" s="41"/>
      <c r="J26" s="41"/>
      <c r="K26" s="41"/>
      <c r="L26" s="41"/>
      <c r="M26" s="41"/>
      <c r="N26" s="42"/>
      <c r="O26" s="42"/>
      <c r="P26" s="42"/>
      <c r="Q26" s="42"/>
      <c r="R26" s="43"/>
      <c r="Z26" s="53"/>
      <c r="AA26" s="53" t="str">
        <f>LEFT(C26,1)</f>
        <v>D</v>
      </c>
      <c r="AB26" s="53"/>
      <c r="AZ26" s="116" t="s">
        <v>546</v>
      </c>
      <c r="BE26" s="120" t="s">
        <v>276</v>
      </c>
      <c r="BO26" s="116" t="s">
        <v>677</v>
      </c>
      <c r="BU26" s="120" t="s">
        <v>275</v>
      </c>
    </row>
    <row r="27" spans="1:73" ht="18">
      <c r="A27" s="143" t="s">
        <v>604</v>
      </c>
      <c r="B27" s="144" t="s">
        <v>157</v>
      </c>
      <c r="C27" s="162">
        <v>0</v>
      </c>
      <c r="D27" s="11"/>
      <c r="G27" s="44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45"/>
      <c r="Z27" s="53"/>
      <c r="AA27" s="54" t="str">
        <f>LEFT(C27,2)</f>
        <v>0</v>
      </c>
      <c r="AB27" s="53"/>
      <c r="AZ27" s="116" t="s">
        <v>547</v>
      </c>
      <c r="BE27" s="120" t="s">
        <v>277</v>
      </c>
      <c r="BO27" s="116" t="s">
        <v>678</v>
      </c>
      <c r="BU27" s="120" t="s">
        <v>276</v>
      </c>
    </row>
    <row r="28" spans="1:73" ht="18">
      <c r="A28" s="143">
        <v>35</v>
      </c>
      <c r="B28" s="144" t="s">
        <v>252</v>
      </c>
      <c r="C28" s="160" t="s">
        <v>273</v>
      </c>
      <c r="D28" s="11" t="str">
        <f>IF(C29=0,"",IF(OR(LEFT(C27,1)="C",LEFT(C27,1)="D"),"=M","Select Motor"))</f>
        <v/>
      </c>
      <c r="G28" s="46"/>
      <c r="H28" s="34" t="s">
        <v>751</v>
      </c>
      <c r="I28" s="228"/>
      <c r="J28" s="147"/>
      <c r="K28" s="147"/>
      <c r="L28" s="147"/>
      <c r="M28" s="147"/>
      <c r="N28" s="147"/>
      <c r="O28" s="147"/>
      <c r="P28" s="147"/>
      <c r="Q28" s="146"/>
      <c r="R28" s="47"/>
      <c r="Z28" s="53"/>
      <c r="AA28" s="54" t="str">
        <f>C28</f>
        <v>*</v>
      </c>
      <c r="AB28" s="53"/>
      <c r="AZ28" s="116" t="s">
        <v>548</v>
      </c>
      <c r="BE28" s="120" t="s">
        <v>278</v>
      </c>
      <c r="BU28" s="120" t="s">
        <v>277</v>
      </c>
    </row>
    <row r="29" spans="1:73" ht="18">
      <c r="A29" s="143">
        <v>36</v>
      </c>
      <c r="B29" s="144" t="s">
        <v>253</v>
      </c>
      <c r="C29" s="160">
        <v>0</v>
      </c>
      <c r="D29" s="11"/>
      <c r="G29" s="46"/>
      <c r="H29" s="36" t="s">
        <v>384</v>
      </c>
      <c r="I29" s="233"/>
      <c r="J29" s="234"/>
      <c r="K29" s="234"/>
      <c r="L29" s="234"/>
      <c r="M29" s="234"/>
      <c r="N29" s="234"/>
      <c r="O29" s="234"/>
      <c r="P29" s="234"/>
      <c r="Q29" s="235"/>
      <c r="R29" s="47"/>
      <c r="Z29" s="53"/>
      <c r="AA29" s="55" t="str">
        <f>LEFT(C29,1)</f>
        <v>0</v>
      </c>
      <c r="AB29" s="53"/>
      <c r="AZ29" s="116" t="s">
        <v>549</v>
      </c>
      <c r="BE29" s="120" t="s">
        <v>279</v>
      </c>
      <c r="BU29" s="120" t="s">
        <v>278</v>
      </c>
    </row>
    <row r="30" spans="1:73" ht="18.75" thickBot="1">
      <c r="A30" s="143">
        <v>37</v>
      </c>
      <c r="B30" s="144" t="s">
        <v>254</v>
      </c>
      <c r="C30" s="160" t="s">
        <v>273</v>
      </c>
      <c r="D30" s="11"/>
      <c r="G30" s="46"/>
      <c r="M30" s="37" t="str">
        <f>IF(H1&lt;48,"Check Code","")</f>
        <v/>
      </c>
      <c r="N30" s="38"/>
      <c r="O30" s="38"/>
      <c r="P30" s="38"/>
      <c r="Q30" s="38"/>
      <c r="R30" s="45"/>
      <c r="Z30" s="53"/>
      <c r="AA30" s="54" t="str">
        <f t="shared" ref="AA30:AA37" si="0">C30</f>
        <v>*</v>
      </c>
      <c r="AB30" s="53"/>
      <c r="AZ30" s="116" t="s">
        <v>550</v>
      </c>
      <c r="BE30" s="120" t="s">
        <v>280</v>
      </c>
      <c r="BU30" s="120" t="s">
        <v>279</v>
      </c>
    </row>
    <row r="31" spans="1:73" ht="18.75" thickBot="1">
      <c r="A31" s="143" t="s">
        <v>605</v>
      </c>
      <c r="B31" s="144" t="s">
        <v>255</v>
      </c>
      <c r="C31" s="160" t="s">
        <v>383</v>
      </c>
      <c r="D31" s="11"/>
      <c r="G31" s="48"/>
      <c r="H31" s="38"/>
      <c r="I31" s="246" t="str">
        <f>AT17</f>
        <v>PROW720J0*2A*AJ*H*B**DCAM00**0*D00*0************0</v>
      </c>
      <c r="J31" s="231"/>
      <c r="K31" s="231"/>
      <c r="L31" s="231"/>
      <c r="M31" s="231"/>
      <c r="N31" s="231"/>
      <c r="O31" s="231"/>
      <c r="P31" s="232"/>
      <c r="Q31" s="39"/>
      <c r="R31" s="45"/>
      <c r="Z31" s="53"/>
      <c r="AA31" s="54" t="str">
        <f t="shared" si="0"/>
        <v>**</v>
      </c>
      <c r="AB31" s="53"/>
      <c r="AZ31" s="116" t="s">
        <v>551</v>
      </c>
      <c r="BE31" s="120" t="s">
        <v>281</v>
      </c>
      <c r="BU31" s="120" t="s">
        <v>280</v>
      </c>
    </row>
    <row r="32" spans="1:73" ht="18.75" thickBot="1">
      <c r="A32" s="143" t="s">
        <v>606</v>
      </c>
      <c r="B32" s="144" t="s">
        <v>256</v>
      </c>
      <c r="C32" s="160" t="s">
        <v>383</v>
      </c>
      <c r="D32" s="11"/>
      <c r="G32" s="46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5"/>
      <c r="Z32" s="53"/>
      <c r="AA32" s="54" t="str">
        <f t="shared" si="0"/>
        <v>**</v>
      </c>
      <c r="AB32" s="53"/>
      <c r="AZ32" s="116" t="s">
        <v>552</v>
      </c>
      <c r="BE32" s="119" t="s">
        <v>282</v>
      </c>
      <c r="BU32" s="120" t="s">
        <v>281</v>
      </c>
    </row>
    <row r="33" spans="1:73" ht="18.75" thickBot="1">
      <c r="A33" s="143" t="s">
        <v>607</v>
      </c>
      <c r="B33" s="144" t="s">
        <v>257</v>
      </c>
      <c r="C33" s="160" t="s">
        <v>383</v>
      </c>
      <c r="D33" s="11"/>
      <c r="G33" s="46"/>
      <c r="H33" s="238" t="str">
        <f>I28&amp;": "&amp;'Sheet 3'!B56</f>
        <v>:  RHSC 6-Row Evap. 25 inch FAN; 15HP   60kW EXL Cab</v>
      </c>
      <c r="I33" s="239"/>
      <c r="J33" s="239"/>
      <c r="K33" s="239"/>
      <c r="L33" s="239"/>
      <c r="M33" s="239"/>
      <c r="N33" s="239"/>
      <c r="O33" s="239"/>
      <c r="P33" s="239"/>
      <c r="Q33" s="240"/>
      <c r="R33" s="45"/>
      <c r="Z33" s="53"/>
      <c r="AA33" s="54" t="str">
        <f t="shared" si="0"/>
        <v>**</v>
      </c>
      <c r="AB33" s="53"/>
      <c r="AZ33" s="116" t="s">
        <v>553</v>
      </c>
      <c r="BE33" s="119" t="s">
        <v>283</v>
      </c>
      <c r="BU33" s="119" t="s">
        <v>282</v>
      </c>
    </row>
    <row r="34" spans="1:73" ht="18">
      <c r="A34" s="143" t="s">
        <v>608</v>
      </c>
      <c r="B34" s="144" t="s">
        <v>258</v>
      </c>
      <c r="C34" s="160" t="s">
        <v>383</v>
      </c>
      <c r="D34" s="11"/>
      <c r="G34" s="46"/>
      <c r="H34" s="243" t="str">
        <f>'Sheet 3'!B57</f>
        <v>PROW</v>
      </c>
      <c r="I34" s="13" t="str">
        <f>'Sheet 3'!C57</f>
        <v>Shipping Weight</v>
      </c>
      <c r="J34" s="14" t="str">
        <f>'Sheet 3'!D57</f>
        <v>Operating Weight</v>
      </c>
      <c r="K34" s="241" t="str">
        <f>'Sheet 3'!E57</f>
        <v xml:space="preserve">Center of Gravity </v>
      </c>
      <c r="L34" s="241"/>
      <c r="M34" s="241"/>
      <c r="N34" s="241" t="str">
        <f>'Sheet 3'!H57</f>
        <v>Corner Weights</v>
      </c>
      <c r="O34" s="241"/>
      <c r="P34" s="241"/>
      <c r="Q34" s="242"/>
      <c r="R34" s="45"/>
      <c r="Z34" s="53"/>
      <c r="AA34" s="54" t="str">
        <f t="shared" si="0"/>
        <v>**</v>
      </c>
      <c r="AB34" s="53"/>
      <c r="AZ34" s="116" t="s">
        <v>554</v>
      </c>
      <c r="BE34" s="119" t="s">
        <v>284</v>
      </c>
      <c r="BU34" s="119" t="s">
        <v>283</v>
      </c>
    </row>
    <row r="35" spans="1:73" ht="18">
      <c r="A35" s="143" t="s">
        <v>609</v>
      </c>
      <c r="B35" s="144" t="s">
        <v>259</v>
      </c>
      <c r="C35" s="160" t="s">
        <v>383</v>
      </c>
      <c r="D35" s="11"/>
      <c r="G35" s="46"/>
      <c r="H35" s="236">
        <f>'Sheet 3'!B58</f>
        <v>0</v>
      </c>
      <c r="I35" s="15" t="str">
        <f>'Sheet 3'!C58</f>
        <v>lbs (kg)</v>
      </c>
      <c r="J35" s="16" t="str">
        <f>'Sheet 3'!D58</f>
        <v>lbs (kg)</v>
      </c>
      <c r="K35" s="16" t="str">
        <f>'Sheet 3'!E58</f>
        <v>X</v>
      </c>
      <c r="L35" s="16" t="str">
        <f>'Sheet 3'!F58</f>
        <v>Y</v>
      </c>
      <c r="M35" s="16" t="str">
        <f>'Sheet 3'!G58</f>
        <v>Z</v>
      </c>
      <c r="N35" s="16" t="str">
        <f>'Sheet 3'!H58</f>
        <v>LF</v>
      </c>
      <c r="O35" s="16" t="str">
        <f>'Sheet 3'!I58</f>
        <v>LB</v>
      </c>
      <c r="P35" s="16" t="str">
        <f>'Sheet 3'!J58</f>
        <v>RF</v>
      </c>
      <c r="Q35" s="17" t="str">
        <f>'Sheet 3'!K58</f>
        <v>RB</v>
      </c>
      <c r="R35" s="45"/>
      <c r="Z35" s="53"/>
      <c r="AA35" s="54" t="str">
        <f t="shared" si="0"/>
        <v>**</v>
      </c>
      <c r="AB35" s="53"/>
      <c r="AZ35" s="116" t="s">
        <v>555</v>
      </c>
      <c r="BE35" s="120" t="s">
        <v>285</v>
      </c>
      <c r="BU35" s="119" t="s">
        <v>284</v>
      </c>
    </row>
    <row r="36" spans="1:73" ht="18">
      <c r="A36" s="143">
        <v>48</v>
      </c>
      <c r="B36" s="144" t="s">
        <v>260</v>
      </c>
      <c r="C36" s="160" t="s">
        <v>273</v>
      </c>
      <c r="G36" s="46"/>
      <c r="H36" s="236">
        <f>'Sheet 3'!B59</f>
        <v>720</v>
      </c>
      <c r="I36" s="18">
        <f>'Sheet 3'!C59</f>
        <v>9680</v>
      </c>
      <c r="J36" s="19">
        <f>'Sheet 3'!D59</f>
        <v>9800</v>
      </c>
      <c r="K36" s="20">
        <f>'Sheet 3'!E59</f>
        <v>112.30326275892922</v>
      </c>
      <c r="L36" s="20">
        <f>'Sheet 3'!F59</f>
        <v>54.985330350186388</v>
      </c>
      <c r="M36" s="20">
        <f>'Sheet 3'!G59</f>
        <v>63.219014183827362</v>
      </c>
      <c r="N36" s="19">
        <f>'Sheet 3'!H59</f>
        <v>1910</v>
      </c>
      <c r="O36" s="19">
        <f>'Sheet 3'!I59</f>
        <v>2340</v>
      </c>
      <c r="P36" s="19">
        <f>'Sheet 3'!J59</f>
        <v>2490</v>
      </c>
      <c r="Q36" s="21">
        <f>'Sheet 3'!K59</f>
        <v>3060</v>
      </c>
      <c r="R36" s="45"/>
      <c r="Z36" s="53"/>
      <c r="AA36" s="54" t="str">
        <f t="shared" si="0"/>
        <v>*</v>
      </c>
      <c r="AB36" s="53"/>
      <c r="AZ36" s="116" t="s">
        <v>771</v>
      </c>
      <c r="BE36" s="120" t="s">
        <v>286</v>
      </c>
      <c r="BU36" s="120" t="s">
        <v>285</v>
      </c>
    </row>
    <row r="37" spans="1:73" ht="18.75" thickBot="1">
      <c r="A37" s="143">
        <v>49</v>
      </c>
      <c r="B37" s="144" t="s">
        <v>261</v>
      </c>
      <c r="C37" s="160">
        <v>0</v>
      </c>
      <c r="D37" s="11" t="s">
        <v>388</v>
      </c>
      <c r="G37" s="46"/>
      <c r="H37" s="237"/>
      <c r="I37" s="22">
        <f>'Sheet 3'!C60</f>
        <v>-4385.04</v>
      </c>
      <c r="J37" s="23">
        <f>'Sheet 3'!D60</f>
        <v>-4439.4000000000005</v>
      </c>
      <c r="K37" s="24">
        <f>'Sheet 3'!E60</f>
        <v>-2852.5028740768021</v>
      </c>
      <c r="L37" s="24">
        <f>'Sheet 3'!F60</f>
        <v>-1396.6273908947342</v>
      </c>
      <c r="M37" s="24">
        <f>'Sheet 3'!G60</f>
        <v>-1605.762960269215</v>
      </c>
      <c r="N37" s="25">
        <f>'Sheet 3'!H60</f>
        <v>-865.23</v>
      </c>
      <c r="O37" s="25">
        <f>'Sheet 3'!I60</f>
        <v>-1060.02</v>
      </c>
      <c r="P37" s="25">
        <f>'Sheet 3'!J60</f>
        <v>-1127.97</v>
      </c>
      <c r="Q37" s="26">
        <f>'Sheet 3'!K60</f>
        <v>-1386.18</v>
      </c>
      <c r="R37" s="45"/>
      <c r="Z37" s="53"/>
      <c r="AA37" s="55">
        <f t="shared" si="0"/>
        <v>0</v>
      </c>
      <c r="AB37" s="53"/>
      <c r="AZ37" s="116" t="s">
        <v>772</v>
      </c>
      <c r="BE37" s="120" t="s">
        <v>287</v>
      </c>
      <c r="BU37" s="120" t="s">
        <v>286</v>
      </c>
    </row>
    <row r="38" spans="1:73" ht="13.5" thickBot="1">
      <c r="G38" s="46"/>
      <c r="H38" s="27"/>
      <c r="I38" s="28"/>
      <c r="J38" s="28"/>
      <c r="K38" s="28"/>
      <c r="L38" s="28"/>
      <c r="M38" s="110" t="str">
        <f>'Sheet 3'!F61</f>
        <v>Approx. Main Cabinet LXW: 205 X 100</v>
      </c>
      <c r="N38" s="28"/>
      <c r="O38" s="28"/>
      <c r="P38" s="28"/>
      <c r="Q38" s="51">
        <f ca="1">'Sheet 3'!K61</f>
        <v>42685</v>
      </c>
      <c r="R38" s="45"/>
      <c r="Z38" s="53"/>
      <c r="AA38" s="53"/>
      <c r="AB38" s="53"/>
      <c r="AZ38" s="116" t="s">
        <v>773</v>
      </c>
      <c r="BE38" s="120" t="s">
        <v>288</v>
      </c>
      <c r="BU38" s="120" t="s">
        <v>287</v>
      </c>
    </row>
    <row r="39" spans="1:73">
      <c r="G39" s="46"/>
      <c r="H39" s="39" t="str">
        <f>'Sheet 3'!B61</f>
        <v>* Corner weights along the main cabinet.</v>
      </c>
      <c r="I39" s="39"/>
      <c r="J39" s="39"/>
      <c r="K39" s="39"/>
      <c r="L39" s="39"/>
      <c r="M39" s="39"/>
      <c r="N39" s="39"/>
      <c r="O39" s="39"/>
      <c r="P39" s="39"/>
      <c r="Q39" s="39"/>
      <c r="R39" s="45"/>
      <c r="Z39" s="53"/>
      <c r="AA39" s="53"/>
      <c r="AB39" s="53"/>
      <c r="AZ39" s="116" t="s">
        <v>774</v>
      </c>
      <c r="BE39" s="120" t="s">
        <v>289</v>
      </c>
      <c r="BU39" s="120" t="s">
        <v>288</v>
      </c>
    </row>
    <row r="40" spans="1:73">
      <c r="G40" s="46"/>
      <c r="H40" s="39" t="s">
        <v>756</v>
      </c>
      <c r="I40" s="39"/>
      <c r="J40" s="39"/>
      <c r="K40" s="39"/>
      <c r="L40" s="39"/>
      <c r="M40" s="39"/>
      <c r="N40" s="39"/>
      <c r="O40" s="39"/>
      <c r="P40" s="39"/>
      <c r="Q40" s="39"/>
      <c r="R40" s="45"/>
      <c r="Z40" s="53"/>
      <c r="AA40" s="53"/>
      <c r="AB40" s="53"/>
      <c r="BE40" s="120" t="s">
        <v>290</v>
      </c>
      <c r="BU40" s="120" t="s">
        <v>289</v>
      </c>
    </row>
    <row r="41" spans="1:73">
      <c r="G41" s="46"/>
      <c r="H41" s="109"/>
      <c r="I41" s="39"/>
      <c r="J41" s="39"/>
      <c r="K41" s="39"/>
      <c r="L41" s="39"/>
      <c r="M41" s="39"/>
      <c r="N41" s="39"/>
      <c r="O41" s="39"/>
      <c r="P41" s="39"/>
      <c r="Q41" s="39"/>
      <c r="R41" s="45"/>
      <c r="Z41" s="53"/>
      <c r="AA41" s="53"/>
      <c r="AB41" s="53"/>
      <c r="BE41" s="120" t="s">
        <v>291</v>
      </c>
      <c r="BU41" s="120" t="s">
        <v>290</v>
      </c>
    </row>
    <row r="42" spans="1:73">
      <c r="G42" s="159" t="s">
        <v>785</v>
      </c>
      <c r="H42" s="49"/>
      <c r="I42" s="49"/>
      <c r="J42" s="49"/>
      <c r="K42" s="157"/>
      <c r="L42" s="49"/>
      <c r="M42" s="49"/>
      <c r="N42" s="49"/>
      <c r="O42" s="49"/>
      <c r="P42" s="49"/>
      <c r="Q42" s="49"/>
      <c r="R42" s="50"/>
      <c r="Z42" s="53"/>
      <c r="AA42" s="53"/>
      <c r="AB42" s="53"/>
      <c r="BE42" s="120" t="s">
        <v>292</v>
      </c>
      <c r="BU42" s="120" t="s">
        <v>291</v>
      </c>
    </row>
    <row r="43" spans="1:73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Z43" s="53"/>
      <c r="AA43" s="53"/>
      <c r="AB43" s="53"/>
      <c r="BE43" s="120" t="s">
        <v>293</v>
      </c>
      <c r="BU43" s="120" t="s">
        <v>292</v>
      </c>
    </row>
    <row r="44" spans="1:73">
      <c r="Z44" s="53"/>
      <c r="AA44" s="53"/>
      <c r="AB44" s="53"/>
      <c r="BE44" s="120" t="s">
        <v>294</v>
      </c>
      <c r="BU44" s="120" t="s">
        <v>293</v>
      </c>
    </row>
    <row r="45" spans="1:73">
      <c r="G45" s="3" t="s">
        <v>392</v>
      </c>
      <c r="Z45" s="53"/>
      <c r="AA45" s="53"/>
      <c r="AB45" s="53"/>
      <c r="BE45" s="120" t="s">
        <v>295</v>
      </c>
      <c r="BU45" s="120" t="s">
        <v>294</v>
      </c>
    </row>
    <row r="46" spans="1:73">
      <c r="G46" s="3" t="s">
        <v>394</v>
      </c>
      <c r="BE46" s="120" t="s">
        <v>296</v>
      </c>
      <c r="BU46" s="120" t="s">
        <v>295</v>
      </c>
    </row>
    <row r="47" spans="1:73">
      <c r="G47" s="3" t="s">
        <v>393</v>
      </c>
      <c r="BE47" s="125" t="s">
        <v>642</v>
      </c>
      <c r="BU47" s="120" t="s">
        <v>296</v>
      </c>
    </row>
    <row r="48" spans="1:73">
      <c r="G48" s="109" t="s">
        <v>752</v>
      </c>
      <c r="BE48" s="125" t="s">
        <v>643</v>
      </c>
      <c r="BU48" s="125" t="s">
        <v>642</v>
      </c>
    </row>
    <row r="49" spans="9:73">
      <c r="BE49" s="125" t="s">
        <v>644</v>
      </c>
      <c r="BU49" s="125" t="s">
        <v>643</v>
      </c>
    </row>
    <row r="50" spans="9:73">
      <c r="BE50" s="125" t="s">
        <v>645</v>
      </c>
      <c r="BU50" s="125" t="s">
        <v>644</v>
      </c>
    </row>
    <row r="51" spans="9:73">
      <c r="I51" s="29"/>
      <c r="BE51" s="125" t="s">
        <v>646</v>
      </c>
      <c r="BL51" s="116">
        <v>0</v>
      </c>
      <c r="BU51" s="125" t="s">
        <v>645</v>
      </c>
    </row>
    <row r="52" spans="9:73">
      <c r="BE52" s="125" t="s">
        <v>647</v>
      </c>
      <c r="BL52" s="116" t="s">
        <v>681</v>
      </c>
      <c r="BU52" s="125" t="s">
        <v>646</v>
      </c>
    </row>
    <row r="53" spans="9:73">
      <c r="BE53" s="125" t="s">
        <v>648</v>
      </c>
      <c r="BL53" s="116" t="s">
        <v>365</v>
      </c>
      <c r="BU53" s="125" t="s">
        <v>647</v>
      </c>
    </row>
    <row r="54" spans="9:73">
      <c r="BE54" s="125" t="s">
        <v>649</v>
      </c>
      <c r="BL54" s="116" t="s">
        <v>682</v>
      </c>
      <c r="BU54" s="125" t="s">
        <v>648</v>
      </c>
    </row>
    <row r="55" spans="9:73">
      <c r="BE55" s="120" t="s">
        <v>650</v>
      </c>
      <c r="BL55" s="116" t="s">
        <v>683</v>
      </c>
      <c r="BU55" s="125" t="s">
        <v>649</v>
      </c>
    </row>
    <row r="56" spans="9:73">
      <c r="BL56" s="116" t="s">
        <v>684</v>
      </c>
      <c r="BU56" s="120" t="s">
        <v>650</v>
      </c>
    </row>
    <row r="57" spans="9:73">
      <c r="BL57" s="116" t="s">
        <v>685</v>
      </c>
    </row>
    <row r="58" spans="9:73">
      <c r="BL58" s="116" t="s">
        <v>378</v>
      </c>
    </row>
    <row r="59" spans="9:73">
      <c r="BL59" s="116" t="s">
        <v>368</v>
      </c>
    </row>
    <row r="60" spans="9:73">
      <c r="BL60" s="116" t="s">
        <v>366</v>
      </c>
    </row>
    <row r="61" spans="9:73">
      <c r="BL61" s="116" t="s">
        <v>367</v>
      </c>
    </row>
    <row r="62" spans="9:73">
      <c r="BL62" s="116" t="s">
        <v>369</v>
      </c>
    </row>
    <row r="63" spans="9:73">
      <c r="BL63" s="116" t="s">
        <v>370</v>
      </c>
    </row>
    <row r="64" spans="9:73">
      <c r="BL64" s="116" t="s">
        <v>371</v>
      </c>
    </row>
    <row r="65" spans="64:64">
      <c r="BL65" s="116" t="s">
        <v>680</v>
      </c>
    </row>
    <row r="66" spans="64:64">
      <c r="BL66" s="116" t="s">
        <v>372</v>
      </c>
    </row>
    <row r="67" spans="64:64">
      <c r="BL67" s="116" t="s">
        <v>373</v>
      </c>
    </row>
    <row r="68" spans="64:64">
      <c r="BL68" s="116" t="s">
        <v>374</v>
      </c>
    </row>
    <row r="69" spans="64:64">
      <c r="BL69" s="116" t="s">
        <v>375</v>
      </c>
    </row>
    <row r="70" spans="64:64">
      <c r="BL70" s="116" t="s">
        <v>686</v>
      </c>
    </row>
    <row r="71" spans="64:64">
      <c r="BL71" s="116" t="s">
        <v>376</v>
      </c>
    </row>
    <row r="72" spans="64:64">
      <c r="BL72" s="116" t="s">
        <v>377</v>
      </c>
    </row>
    <row r="73" spans="64:64">
      <c r="BL73" s="116" t="s">
        <v>150</v>
      </c>
    </row>
  </sheetData>
  <sheetProtection password="F863" sheet="1" objects="1" scenarios="1" selectLockedCells="1"/>
  <dataConsolidate/>
  <mergeCells count="7">
    <mergeCell ref="I31:P31"/>
    <mergeCell ref="I29:Q29"/>
    <mergeCell ref="H36:H37"/>
    <mergeCell ref="H33:Q33"/>
    <mergeCell ref="K34:M34"/>
    <mergeCell ref="N34:Q34"/>
    <mergeCell ref="H34:H35"/>
  </mergeCells>
  <phoneticPr fontId="19" type="noConversion"/>
  <dataValidations count="19">
    <dataValidation type="list" allowBlank="1" showInputMessage="1" showErrorMessage="1" sqref="C18">
      <formula1>$BL$3:$BL$25</formula1>
    </dataValidation>
    <dataValidation type="list" allowBlank="1" showInputMessage="1" showErrorMessage="1" sqref="C19">
      <formula1>$BM$3:$BM$10</formula1>
    </dataValidation>
    <dataValidation type="list" allowBlank="1" showInputMessage="1" showErrorMessage="1" sqref="C20">
      <formula1>$BN$3:$BN$25</formula1>
    </dataValidation>
    <dataValidation type="list" allowBlank="1" showInputMessage="1" showErrorMessage="1" sqref="C21">
      <formula1>$BO$3:$BO$27</formula1>
    </dataValidation>
    <dataValidation type="list" allowBlank="1" showInputMessage="1" showErrorMessage="1" sqref="C24">
      <formula1>$BR$3:$BR$24</formula1>
    </dataValidation>
    <dataValidation type="list" allowBlank="1" showInputMessage="1" showErrorMessage="1" sqref="C26">
      <formula1>$BT$3:$BT$12</formula1>
    </dataValidation>
    <dataValidation type="list" allowBlank="1" showInputMessage="1" showErrorMessage="1" sqref="C27">
      <formula1>$BU$3:$BU$56</formula1>
    </dataValidation>
    <dataValidation type="list" allowBlank="1" showInputMessage="1" showErrorMessage="1" sqref="C29">
      <formula1>$BW$3:$BW$16</formula1>
    </dataValidation>
    <dataValidation type="list" allowBlank="1" showInputMessage="1" showErrorMessage="1" sqref="C37">
      <formula1>$CE$3</formula1>
    </dataValidation>
    <dataValidation type="list" allowBlank="1" showInputMessage="1" showErrorMessage="1" sqref="C2">
      <formula1>$AV$3</formula1>
    </dataValidation>
    <dataValidation type="list" allowBlank="1" showInputMessage="1" showErrorMessage="1" sqref="C3">
      <formula1>$AW$3:$AW$5</formula1>
    </dataValidation>
    <dataValidation type="list" showInputMessage="1" showErrorMessage="1" sqref="C4">
      <formula1>$AX$3:$AX$7</formula1>
    </dataValidation>
    <dataValidation type="list" showInputMessage="1" showErrorMessage="1" sqref="C5">
      <formula1>$AY$3:$AY$23</formula1>
    </dataValidation>
    <dataValidation type="list" showInputMessage="1" showErrorMessage="1" sqref="C6">
      <formula1>$AZ$3:$AZ$39</formula1>
    </dataValidation>
    <dataValidation type="list" allowBlank="1" showInputMessage="1" showErrorMessage="1" sqref="C9">
      <formula1>$BC$3</formula1>
    </dataValidation>
    <dataValidation type="list" showInputMessage="1" showErrorMessage="1" sqref="C11">
      <formula1>$BE$3:$BE$55</formula1>
    </dataValidation>
    <dataValidation type="list" allowBlank="1" showInputMessage="1" showErrorMessage="1" sqref="C13">
      <formula1>$BG$3:$BG$15</formula1>
    </dataValidation>
    <dataValidation type="list" allowBlank="1" showInputMessage="1" showErrorMessage="1" sqref="C15">
      <formula1>$BI$3:$BI$7</formula1>
    </dataValidation>
    <dataValidation type="list" showInputMessage="1" showErrorMessage="1" sqref="C8">
      <formula1>$BB$3:$BB$9</formula1>
    </dataValidation>
  </dataValidations>
  <printOptions horizontalCentered="1"/>
  <pageMargins left="0.09" right="0.09" top="0.54" bottom="1" header="0.5" footer="0.5"/>
  <pageSetup scale="84" orientation="portrait" verticalDpi="1200" r:id="rId1"/>
  <headerFooter scaleWithDoc="0" alignWithMargins="0">
    <oddFooter>&amp;L&amp;G</oddFooter>
  </headerFooter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N115"/>
  <sheetViews>
    <sheetView showGridLines="0" topLeftCell="B19" zoomScale="70" zoomScaleNormal="70" workbookViewId="0">
      <selection activeCell="K41" sqref="K41"/>
    </sheetView>
  </sheetViews>
  <sheetFormatPr defaultRowHeight="12.75"/>
  <cols>
    <col min="1" max="1" width="24.5703125" style="177" customWidth="1"/>
    <col min="2" max="2" width="18.42578125" style="177" customWidth="1"/>
    <col min="3" max="3" width="9.140625" style="177"/>
    <col min="4" max="4" width="17.28515625" style="177" customWidth="1"/>
    <col min="5" max="7" width="9.140625" style="177"/>
    <col min="8" max="8" width="10.5703125" style="177" customWidth="1"/>
    <col min="9" max="10" width="9.140625" style="177"/>
    <col min="11" max="11" width="10.28515625" style="177" bestFit="1" customWidth="1"/>
    <col min="12" max="12" width="9.140625" style="177" customWidth="1"/>
    <col min="13" max="13" width="4.5703125" style="177" customWidth="1"/>
    <col min="14" max="14" width="114.42578125" style="177" hidden="1" customWidth="1"/>
    <col min="15" max="16" width="9.140625" style="177" customWidth="1"/>
    <col min="17" max="20" width="5.7109375" style="177" customWidth="1"/>
    <col min="21" max="21" width="7.42578125" style="177" customWidth="1"/>
    <col min="22" max="23" width="5.7109375" style="177" customWidth="1"/>
    <col min="24" max="24" width="5.5703125" style="177" customWidth="1"/>
    <col min="25" max="34" width="5.7109375" style="177" customWidth="1"/>
    <col min="35" max="36" width="9.140625" style="177" customWidth="1"/>
    <col min="37" max="37" width="5.5703125" style="177" customWidth="1"/>
    <col min="38" max="38" width="5.42578125" style="177" customWidth="1"/>
    <col min="39" max="39" width="9.140625" style="177" customWidth="1"/>
    <col min="40" max="40" width="5.7109375" style="177" customWidth="1"/>
    <col min="41" max="41" width="4.5703125" style="177" customWidth="1"/>
    <col min="42" max="42" width="4.28515625" style="177" customWidth="1"/>
    <col min="43" max="43" width="6.7109375" style="177" customWidth="1"/>
    <col min="44" max="55" width="5.7109375" style="177" customWidth="1"/>
    <col min="56" max="56" width="10.28515625" style="177" customWidth="1"/>
    <col min="57" max="57" width="5.7109375" style="177" customWidth="1"/>
    <col min="58" max="58" width="4.85546875" style="177" customWidth="1"/>
    <col min="59" max="59" width="5" style="177" customWidth="1"/>
    <col min="60" max="61" width="5.28515625" style="177" customWidth="1"/>
    <col min="62" max="62" width="9.140625" style="177"/>
    <col min="63" max="63" width="9" style="177" customWidth="1"/>
    <col min="64" max="64" width="5.28515625" style="177" customWidth="1"/>
    <col min="65" max="65" width="6.28515625" style="177" customWidth="1"/>
    <col min="66" max="66" width="4.7109375" style="177" customWidth="1"/>
    <col min="67" max="67" width="4.42578125" style="177" customWidth="1"/>
    <col min="68" max="68" width="5.42578125" style="177" customWidth="1"/>
    <col min="69" max="69" width="5.5703125" style="177" customWidth="1"/>
    <col min="70" max="70" width="4.85546875" style="177" customWidth="1"/>
    <col min="71" max="71" width="5.7109375" style="177" customWidth="1"/>
    <col min="72" max="73" width="4.5703125" style="177" customWidth="1"/>
    <col min="74" max="74" width="5.28515625" style="177" customWidth="1"/>
    <col min="75" max="75" width="5" style="177" customWidth="1"/>
    <col min="76" max="76" width="4.28515625" style="177" customWidth="1"/>
    <col min="77" max="80" width="5.42578125" style="177" bestFit="1" customWidth="1"/>
    <col min="81" max="81" width="6.28515625" style="177" customWidth="1"/>
    <col min="82" max="82" width="5" style="177" bestFit="1" customWidth="1"/>
    <col min="83" max="83" width="5.42578125" style="177" customWidth="1"/>
    <col min="84" max="84" width="5.42578125" style="177" bestFit="1" customWidth="1"/>
    <col min="85" max="88" width="5" style="177" bestFit="1" customWidth="1"/>
    <col min="89" max="16384" width="9.140625" style="177"/>
  </cols>
  <sheetData>
    <row r="1" spans="1:90">
      <c r="A1" s="176"/>
      <c r="B1" s="176">
        <f>LEN(A3)</f>
        <v>48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BJ1" s="177" t="s">
        <v>97</v>
      </c>
      <c r="BK1" s="177" t="s">
        <v>96</v>
      </c>
      <c r="BL1" s="177" t="s">
        <v>95</v>
      </c>
      <c r="BQ1" s="177" t="s">
        <v>34</v>
      </c>
    </row>
    <row r="2" spans="1:90">
      <c r="A2" s="176"/>
      <c r="B2" s="176" t="str">
        <f>Weights!I31</f>
        <v>PROW720J0*2A*AJ*H*B**DCAM00**0*D00*0************0</v>
      </c>
      <c r="C2" s="176"/>
      <c r="D2" s="176"/>
      <c r="E2" s="176"/>
      <c r="F2" s="176" t="s">
        <v>440</v>
      </c>
      <c r="G2" s="176" t="str">
        <f>MID(B2,11,1)</f>
        <v>2</v>
      </c>
      <c r="H2" s="176"/>
      <c r="I2" s="176"/>
      <c r="J2" s="176"/>
      <c r="K2" s="176"/>
      <c r="L2" s="176"/>
      <c r="M2" s="176"/>
      <c r="N2" s="176"/>
      <c r="O2" s="176"/>
      <c r="P2" s="176" t="s">
        <v>102</v>
      </c>
      <c r="Q2" s="176">
        <v>36</v>
      </c>
      <c r="R2" s="176">
        <v>48</v>
      </c>
      <c r="S2" s="176">
        <v>60</v>
      </c>
      <c r="T2" s="177">
        <v>72</v>
      </c>
      <c r="U2" s="177">
        <v>84</v>
      </c>
      <c r="V2" s="177">
        <v>96</v>
      </c>
      <c r="W2" s="177">
        <v>120</v>
      </c>
      <c r="X2" s="177">
        <v>150</v>
      </c>
      <c r="Y2" s="177">
        <v>180</v>
      </c>
      <c r="Z2" s="177">
        <v>210</v>
      </c>
      <c r="AA2" s="177">
        <v>240</v>
      </c>
      <c r="AB2" s="177">
        <v>300</v>
      </c>
      <c r="AC2" s="177">
        <v>360</v>
      </c>
      <c r="AD2" s="177">
        <v>420</v>
      </c>
      <c r="AE2" s="177">
        <v>480</v>
      </c>
      <c r="AF2" s="177">
        <v>540</v>
      </c>
      <c r="AG2" s="177">
        <v>600</v>
      </c>
      <c r="AH2" s="177">
        <v>660</v>
      </c>
      <c r="AI2" s="177">
        <v>720</v>
      </c>
      <c r="AJ2" s="177">
        <v>780</v>
      </c>
      <c r="AK2" s="177">
        <v>840</v>
      </c>
      <c r="AM2" s="177" t="s">
        <v>164</v>
      </c>
      <c r="AN2" s="177">
        <v>36</v>
      </c>
      <c r="AO2" s="177">
        <v>48</v>
      </c>
      <c r="AP2" s="177">
        <v>60</v>
      </c>
      <c r="AQ2" s="177">
        <v>72</v>
      </c>
      <c r="AR2" s="177">
        <v>84</v>
      </c>
      <c r="AS2" s="177">
        <v>96</v>
      </c>
      <c r="AT2" s="177">
        <v>120</v>
      </c>
      <c r="AU2" s="177">
        <v>150</v>
      </c>
      <c r="AV2" s="177">
        <v>180</v>
      </c>
      <c r="AW2" s="177">
        <v>210</v>
      </c>
      <c r="AX2" s="177">
        <v>240</v>
      </c>
      <c r="AY2" s="177">
        <v>300</v>
      </c>
      <c r="AZ2" s="177">
        <v>360</v>
      </c>
      <c r="BA2" s="177">
        <v>420</v>
      </c>
      <c r="BB2" s="177">
        <v>480</v>
      </c>
      <c r="BC2" s="177">
        <v>540</v>
      </c>
      <c r="BD2" s="177">
        <v>600</v>
      </c>
      <c r="BE2" s="177">
        <v>660</v>
      </c>
      <c r="BF2" s="177">
        <v>720</v>
      </c>
      <c r="BG2" s="177">
        <v>780</v>
      </c>
      <c r="BH2" s="177">
        <v>840</v>
      </c>
      <c r="BJ2" s="177">
        <v>36</v>
      </c>
      <c r="BK2" s="177">
        <v>20</v>
      </c>
      <c r="BL2" s="177">
        <v>3.4</v>
      </c>
      <c r="BQ2" s="177" t="s">
        <v>1</v>
      </c>
      <c r="BR2" s="178">
        <v>36</v>
      </c>
      <c r="BS2" s="178">
        <v>48</v>
      </c>
      <c r="BT2" s="178">
        <v>60</v>
      </c>
      <c r="BU2" s="178">
        <v>72</v>
      </c>
      <c r="BV2" s="178">
        <v>84</v>
      </c>
      <c r="BW2" s="178">
        <v>96</v>
      </c>
      <c r="BX2" s="178">
        <v>120</v>
      </c>
      <c r="BY2" s="178">
        <v>150</v>
      </c>
      <c r="BZ2" s="178">
        <v>180</v>
      </c>
      <c r="CA2" s="178">
        <v>210</v>
      </c>
      <c r="CB2" s="178">
        <v>240</v>
      </c>
      <c r="CC2" s="178">
        <v>300</v>
      </c>
      <c r="CD2" s="178">
        <v>360</v>
      </c>
      <c r="CE2" s="178">
        <v>420</v>
      </c>
      <c r="CF2" s="178">
        <v>480</v>
      </c>
      <c r="CG2" s="178">
        <v>540</v>
      </c>
      <c r="CH2" s="178">
        <v>600</v>
      </c>
      <c r="CI2" s="178">
        <v>660</v>
      </c>
      <c r="CJ2" s="177">
        <v>720</v>
      </c>
      <c r="CK2" s="177">
        <v>780</v>
      </c>
      <c r="CL2" s="177">
        <v>840</v>
      </c>
    </row>
    <row r="3" spans="1:90">
      <c r="A3" s="176" t="s">
        <v>750</v>
      </c>
      <c r="B3" s="176"/>
      <c r="C3" s="176"/>
      <c r="D3" s="176" t="s">
        <v>74</v>
      </c>
      <c r="E3" s="176" t="s">
        <v>192</v>
      </c>
      <c r="F3" s="176" t="s">
        <v>102</v>
      </c>
      <c r="G3" s="176" t="s">
        <v>387</v>
      </c>
      <c r="H3" s="176" t="s">
        <v>188</v>
      </c>
      <c r="I3" s="176" t="s">
        <v>104</v>
      </c>
      <c r="J3" s="176" t="s">
        <v>163</v>
      </c>
      <c r="K3" s="176" t="s">
        <v>4</v>
      </c>
      <c r="L3" s="176"/>
      <c r="M3" s="176"/>
      <c r="N3" s="176"/>
      <c r="O3" s="176"/>
      <c r="P3" s="176" t="s">
        <v>1</v>
      </c>
      <c r="Q3" s="176">
        <v>24</v>
      </c>
      <c r="R3" s="176">
        <v>24</v>
      </c>
      <c r="S3" s="176">
        <v>24</v>
      </c>
      <c r="T3" s="177">
        <v>37</v>
      </c>
      <c r="U3" s="177">
        <v>37</v>
      </c>
      <c r="V3" s="177">
        <v>37</v>
      </c>
      <c r="W3" s="177">
        <v>55</v>
      </c>
      <c r="X3" s="177">
        <v>55</v>
      </c>
      <c r="Y3" s="177">
        <v>55</v>
      </c>
      <c r="Z3" s="177">
        <v>80</v>
      </c>
      <c r="AA3" s="177">
        <v>80</v>
      </c>
      <c r="AB3" s="177">
        <v>94</v>
      </c>
      <c r="AC3" s="177">
        <v>127</v>
      </c>
      <c r="AD3" s="177">
        <v>127</v>
      </c>
      <c r="AE3" s="177">
        <v>226</v>
      </c>
      <c r="AF3" s="177">
        <v>226</v>
      </c>
      <c r="AG3" s="177">
        <v>226</v>
      </c>
      <c r="AH3" s="177">
        <v>226</v>
      </c>
      <c r="AI3" s="177">
        <v>740</v>
      </c>
      <c r="AJ3" s="177">
        <v>740</v>
      </c>
      <c r="AK3" s="177">
        <v>840</v>
      </c>
      <c r="AM3" s="177" t="s">
        <v>1</v>
      </c>
      <c r="AN3" s="177" t="s">
        <v>165</v>
      </c>
      <c r="AO3" s="177" t="s">
        <v>166</v>
      </c>
      <c r="AP3" s="177" t="s">
        <v>167</v>
      </c>
      <c r="AQ3" s="177" t="s">
        <v>168</v>
      </c>
      <c r="AR3" s="177" t="s">
        <v>169</v>
      </c>
      <c r="AS3" s="177" t="s">
        <v>170</v>
      </c>
      <c r="AT3" s="177" t="s">
        <v>167</v>
      </c>
      <c r="AU3" s="177" t="s">
        <v>171</v>
      </c>
      <c r="AV3" s="177" t="s">
        <v>169</v>
      </c>
      <c r="AW3" s="177" t="s">
        <v>172</v>
      </c>
      <c r="AX3" s="177" t="s">
        <v>173</v>
      </c>
      <c r="AY3" s="177" t="s">
        <v>174</v>
      </c>
      <c r="AZ3" s="177" t="s">
        <v>175</v>
      </c>
      <c r="BA3" s="177" t="s">
        <v>176</v>
      </c>
      <c r="BB3" s="177" t="s">
        <v>177</v>
      </c>
      <c r="BC3" s="177" t="s">
        <v>178</v>
      </c>
      <c r="BD3" s="177" t="s">
        <v>179</v>
      </c>
      <c r="BE3" s="177" t="s">
        <v>180</v>
      </c>
      <c r="BF3" s="177" t="s">
        <v>178</v>
      </c>
      <c r="BG3" s="177" t="s">
        <v>179</v>
      </c>
      <c r="BH3" s="177" t="s">
        <v>180</v>
      </c>
      <c r="BJ3" s="177">
        <v>48</v>
      </c>
      <c r="BK3" s="177">
        <v>36</v>
      </c>
      <c r="BL3" s="177">
        <v>5</v>
      </c>
      <c r="BP3" s="120" t="s">
        <v>455</v>
      </c>
      <c r="BQ3" s="178" t="s">
        <v>9</v>
      </c>
      <c r="BR3" s="177">
        <v>463</v>
      </c>
      <c r="BS3" s="177">
        <v>463</v>
      </c>
      <c r="BT3" s="177">
        <v>463</v>
      </c>
      <c r="BU3" s="177">
        <v>463</v>
      </c>
      <c r="BV3" s="177">
        <v>463</v>
      </c>
      <c r="BW3" s="177">
        <v>463</v>
      </c>
      <c r="BX3" s="177" t="s">
        <v>391</v>
      </c>
      <c r="BY3" s="177" t="s">
        <v>391</v>
      </c>
      <c r="BZ3" s="177" t="s">
        <v>391</v>
      </c>
      <c r="CA3" s="177" t="s">
        <v>391</v>
      </c>
      <c r="CB3" s="177" t="s">
        <v>391</v>
      </c>
      <c r="CC3" s="177" t="s">
        <v>391</v>
      </c>
      <c r="CD3" s="177" t="s">
        <v>391</v>
      </c>
      <c r="CE3" s="177" t="s">
        <v>391</v>
      </c>
      <c r="CF3" s="177" t="s">
        <v>391</v>
      </c>
      <c r="CG3" s="177" t="s">
        <v>391</v>
      </c>
      <c r="CH3" s="177" t="s">
        <v>391</v>
      </c>
      <c r="CI3" s="177" t="s">
        <v>391</v>
      </c>
      <c r="CJ3" s="177" t="s">
        <v>391</v>
      </c>
      <c r="CK3" s="177" t="s">
        <v>391</v>
      </c>
      <c r="CL3" s="177" t="s">
        <v>391</v>
      </c>
    </row>
    <row r="4" spans="1:90">
      <c r="A4" s="176"/>
      <c r="B4" s="176" t="str">
        <f>IF(MID(B2,3,1)="M","PRR"&amp;MID(B2,4,1),LEFT(B2,4))</f>
        <v>PROW</v>
      </c>
      <c r="C4" s="176">
        <f>ABS(MID(B2,5,3))</f>
        <v>720</v>
      </c>
      <c r="D4" s="176" t="str">
        <f>MID(B2,8,1)</f>
        <v>J</v>
      </c>
      <c r="E4" s="176" t="str">
        <f>MID(B2,9,1)</f>
        <v>0</v>
      </c>
      <c r="F4" s="176" t="str">
        <f>IF(OR(MID($B$2,19,1)="A",MID($B$2,19,1)="B"),MID($B$2,19,1),"")</f>
        <v>B</v>
      </c>
      <c r="G4" s="176" t="str">
        <f>IF(OR(MID($B$2,19,1)="C",MID($B$2,19,1)="D"),MID($B$2,19,1),"")</f>
        <v/>
      </c>
      <c r="H4" s="176" t="s">
        <v>143</v>
      </c>
      <c r="I4" s="176" t="str">
        <f>MID(B2,14,2)&amp;MID(B2,17,1)</f>
        <v>AJH</v>
      </c>
      <c r="J4" s="176" t="str">
        <f>MID(B2,33,2)&amp;MID(B2,36,1)</f>
        <v>000</v>
      </c>
      <c r="K4" s="176" t="str">
        <f>MID($B$2,30,1)</f>
        <v>0</v>
      </c>
      <c r="L4" s="176"/>
      <c r="M4" s="176"/>
      <c r="N4" s="176"/>
      <c r="O4" s="176"/>
      <c r="P4" s="176" t="s">
        <v>89</v>
      </c>
      <c r="Q4" s="176">
        <v>83</v>
      </c>
      <c r="R4" s="176">
        <v>83</v>
      </c>
      <c r="S4" s="176">
        <v>83</v>
      </c>
      <c r="T4" s="177">
        <v>80</v>
      </c>
      <c r="U4" s="177">
        <v>80</v>
      </c>
      <c r="V4" s="177">
        <v>80</v>
      </c>
      <c r="W4" s="177">
        <v>94</v>
      </c>
      <c r="X4" s="177">
        <v>94</v>
      </c>
      <c r="Y4" s="177">
        <v>127</v>
      </c>
      <c r="Z4" s="177">
        <v>127</v>
      </c>
      <c r="AA4" s="177">
        <v>127</v>
      </c>
      <c r="AB4" s="177">
        <v>226</v>
      </c>
      <c r="AC4" s="177">
        <v>226</v>
      </c>
      <c r="AD4" s="177">
        <v>226</v>
      </c>
      <c r="AE4" s="177">
        <v>740</v>
      </c>
      <c r="AF4" s="177">
        <v>740</v>
      </c>
      <c r="AG4" s="177">
        <v>740</v>
      </c>
      <c r="AH4" s="177">
        <v>840</v>
      </c>
      <c r="AM4" s="177" t="s">
        <v>89</v>
      </c>
      <c r="AN4" s="163" t="s">
        <v>182</v>
      </c>
      <c r="AO4" s="163" t="s">
        <v>186</v>
      </c>
      <c r="AP4" s="163" t="s">
        <v>167</v>
      </c>
      <c r="AQ4" s="168" t="s">
        <v>171</v>
      </c>
      <c r="AR4" s="163" t="s">
        <v>169</v>
      </c>
      <c r="AS4" s="163" t="s">
        <v>170</v>
      </c>
      <c r="AT4" s="163" t="s">
        <v>167</v>
      </c>
      <c r="AU4" s="163" t="s">
        <v>183</v>
      </c>
      <c r="AV4" s="163" t="s">
        <v>170</v>
      </c>
      <c r="AW4" s="163" t="s">
        <v>184</v>
      </c>
      <c r="AX4" s="168" t="s">
        <v>173</v>
      </c>
      <c r="AY4" s="163" t="s">
        <v>175</v>
      </c>
      <c r="AZ4" s="163" t="s">
        <v>181</v>
      </c>
      <c r="BA4" s="163" t="s">
        <v>176</v>
      </c>
      <c r="BB4" s="163" t="s">
        <v>185</v>
      </c>
      <c r="BC4" s="163" t="s">
        <v>178</v>
      </c>
      <c r="BD4" s="163" t="s">
        <v>179</v>
      </c>
      <c r="BE4" s="163" t="s">
        <v>180</v>
      </c>
      <c r="BF4" s="163" t="s">
        <v>178</v>
      </c>
      <c r="BG4" s="163" t="s">
        <v>179</v>
      </c>
      <c r="BH4" s="163" t="s">
        <v>775</v>
      </c>
      <c r="BJ4" s="177">
        <v>60</v>
      </c>
      <c r="BK4" s="177">
        <v>40</v>
      </c>
      <c r="BL4" s="177">
        <v>6</v>
      </c>
      <c r="BP4" s="120" t="s">
        <v>457</v>
      </c>
      <c r="BQ4" s="178" t="s">
        <v>10</v>
      </c>
      <c r="BR4" s="177" t="s">
        <v>391</v>
      </c>
      <c r="BS4" s="177" t="s">
        <v>391</v>
      </c>
      <c r="BT4" s="177" t="s">
        <v>391</v>
      </c>
      <c r="BU4" s="177" t="s">
        <v>391</v>
      </c>
      <c r="BV4" s="177">
        <v>626</v>
      </c>
      <c r="BW4" s="177">
        <v>626</v>
      </c>
      <c r="BX4" s="177">
        <v>680</v>
      </c>
      <c r="BY4" s="177">
        <v>680</v>
      </c>
      <c r="BZ4" s="177">
        <v>680</v>
      </c>
      <c r="CA4" s="177">
        <v>680</v>
      </c>
      <c r="CB4" s="177" t="s">
        <v>391</v>
      </c>
      <c r="CC4" s="177" t="s">
        <v>391</v>
      </c>
      <c r="CD4" s="177" t="s">
        <v>391</v>
      </c>
      <c r="CE4" s="177" t="s">
        <v>391</v>
      </c>
      <c r="CF4" s="177" t="s">
        <v>391</v>
      </c>
      <c r="CG4" s="177" t="s">
        <v>391</v>
      </c>
      <c r="CH4" s="177" t="s">
        <v>391</v>
      </c>
      <c r="CI4" s="177" t="s">
        <v>391</v>
      </c>
      <c r="CJ4" s="177" t="s">
        <v>391</v>
      </c>
      <c r="CK4" s="177" t="s">
        <v>391</v>
      </c>
      <c r="CL4" s="177" t="s">
        <v>391</v>
      </c>
    </row>
    <row r="5" spans="1:90">
      <c r="A5" s="176"/>
      <c r="B5" s="176" t="str">
        <f>MID($B$2,8,2)</f>
        <v>J0</v>
      </c>
      <c r="C5" s="176" t="s">
        <v>92</v>
      </c>
      <c r="D5" s="176" t="str">
        <f>MID($B$2,24,1)</f>
        <v>A</v>
      </c>
      <c r="E5" s="176" t="s">
        <v>193</v>
      </c>
      <c r="F5" s="179" t="str">
        <f>MID($B$2,25,1)</f>
        <v>M</v>
      </c>
      <c r="G5" s="176" t="s">
        <v>194</v>
      </c>
      <c r="H5" s="176" t="str">
        <f>MID($B$2,26,2)</f>
        <v>00</v>
      </c>
      <c r="I5" s="176" t="s">
        <v>210</v>
      </c>
      <c r="J5" s="176" t="str">
        <f>MID($B$2,32,1)</f>
        <v>D</v>
      </c>
      <c r="K5" s="176"/>
      <c r="L5" s="176"/>
      <c r="M5" s="176"/>
      <c r="N5" s="176"/>
      <c r="O5" s="176"/>
      <c r="P5" s="176"/>
      <c r="Q5" s="176"/>
      <c r="R5" s="176"/>
      <c r="S5" s="176"/>
      <c r="AM5" s="177" t="s">
        <v>1</v>
      </c>
      <c r="AN5" s="177">
        <v>48</v>
      </c>
      <c r="AO5" s="177">
        <v>67</v>
      </c>
      <c r="AP5" s="177">
        <v>75.8</v>
      </c>
      <c r="AQ5" s="177">
        <v>75.599999999999994</v>
      </c>
      <c r="AR5" s="177">
        <v>88</v>
      </c>
      <c r="AS5" s="177">
        <v>87</v>
      </c>
      <c r="AT5" s="177">
        <v>75.8</v>
      </c>
      <c r="AU5" s="177">
        <v>88.8</v>
      </c>
      <c r="AV5" s="177">
        <v>88</v>
      </c>
      <c r="AW5" s="177">
        <v>95</v>
      </c>
      <c r="AX5" s="177">
        <v>135</v>
      </c>
      <c r="AY5" s="177">
        <v>136</v>
      </c>
      <c r="AZ5" s="177">
        <v>138</v>
      </c>
      <c r="BA5" s="177">
        <v>146</v>
      </c>
      <c r="BB5" s="177">
        <v>283</v>
      </c>
      <c r="BC5" s="177">
        <v>289</v>
      </c>
      <c r="BD5" s="177">
        <v>276</v>
      </c>
      <c r="BE5" s="177">
        <v>292</v>
      </c>
      <c r="BF5" s="177">
        <v>289</v>
      </c>
      <c r="BG5" s="177">
        <v>276</v>
      </c>
      <c r="BH5" s="177">
        <v>292</v>
      </c>
      <c r="BJ5" s="177">
        <v>72</v>
      </c>
      <c r="BK5" s="177">
        <v>40</v>
      </c>
      <c r="BL5" s="177">
        <v>6</v>
      </c>
      <c r="BP5" s="120" t="s">
        <v>459</v>
      </c>
      <c r="BQ5" s="178" t="s">
        <v>26</v>
      </c>
      <c r="BR5" s="177">
        <v>463</v>
      </c>
      <c r="BS5" s="177">
        <v>463</v>
      </c>
      <c r="BT5" s="177">
        <v>463</v>
      </c>
      <c r="BU5" s="177">
        <v>436</v>
      </c>
      <c r="BV5" s="177">
        <v>463</v>
      </c>
      <c r="BW5" s="177">
        <v>463</v>
      </c>
      <c r="BX5" s="177" t="s">
        <v>391</v>
      </c>
      <c r="BY5" s="177" t="s">
        <v>391</v>
      </c>
      <c r="BZ5" s="177" t="s">
        <v>391</v>
      </c>
      <c r="CA5" s="177" t="s">
        <v>391</v>
      </c>
      <c r="CB5" s="177" t="s">
        <v>391</v>
      </c>
      <c r="CC5" s="177" t="s">
        <v>391</v>
      </c>
      <c r="CD5" s="177" t="s">
        <v>391</v>
      </c>
      <c r="CE5" s="177" t="s">
        <v>391</v>
      </c>
      <c r="CF5" s="177" t="s">
        <v>391</v>
      </c>
      <c r="CG5" s="177" t="s">
        <v>391</v>
      </c>
      <c r="CH5" s="177" t="s">
        <v>391</v>
      </c>
      <c r="CI5" s="177" t="s">
        <v>391</v>
      </c>
      <c r="CJ5" s="177" t="s">
        <v>391</v>
      </c>
      <c r="CK5" s="177" t="s">
        <v>391</v>
      </c>
      <c r="CL5" s="177" t="s">
        <v>391</v>
      </c>
    </row>
    <row r="6" spans="1:90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 t="s">
        <v>25</v>
      </c>
      <c r="Q6" s="176"/>
      <c r="R6" s="176"/>
      <c r="S6" s="176"/>
      <c r="AM6" s="177" t="s">
        <v>89</v>
      </c>
      <c r="AN6" s="177">
        <v>48</v>
      </c>
      <c r="AO6" s="177">
        <v>67</v>
      </c>
      <c r="AP6" s="177">
        <v>75.8</v>
      </c>
      <c r="AQ6" s="177">
        <v>88.8</v>
      </c>
      <c r="AR6" s="177">
        <v>88</v>
      </c>
      <c r="AS6" s="177">
        <v>87</v>
      </c>
      <c r="AT6" s="177">
        <v>75.8</v>
      </c>
      <c r="AU6" s="177">
        <v>88</v>
      </c>
      <c r="AV6" s="177">
        <v>87</v>
      </c>
      <c r="AW6" s="177">
        <v>127</v>
      </c>
      <c r="AX6" s="177">
        <v>135</v>
      </c>
      <c r="AY6" s="177">
        <v>138</v>
      </c>
      <c r="AZ6" s="177">
        <v>146</v>
      </c>
      <c r="BA6" s="177">
        <v>146</v>
      </c>
      <c r="BB6" s="177">
        <v>283</v>
      </c>
      <c r="BC6" s="177">
        <v>289</v>
      </c>
      <c r="BD6" s="177">
        <v>276</v>
      </c>
      <c r="BE6" s="177">
        <v>292</v>
      </c>
      <c r="BF6" s="177">
        <v>289</v>
      </c>
      <c r="BG6" s="177">
        <v>276</v>
      </c>
      <c r="BH6" s="177">
        <v>292</v>
      </c>
      <c r="BJ6" s="177">
        <v>84</v>
      </c>
      <c r="BK6" s="177">
        <v>61</v>
      </c>
      <c r="BL6" s="177">
        <v>10</v>
      </c>
      <c r="BM6" s="178"/>
      <c r="BP6" s="120" t="s">
        <v>461</v>
      </c>
      <c r="BQ6" s="178" t="s">
        <v>11</v>
      </c>
      <c r="BR6" s="177" t="s">
        <v>391</v>
      </c>
      <c r="BS6" s="177" t="s">
        <v>391</v>
      </c>
      <c r="BT6" s="177" t="s">
        <v>391</v>
      </c>
      <c r="BU6" s="177" t="s">
        <v>391</v>
      </c>
      <c r="BV6" s="177">
        <v>626</v>
      </c>
      <c r="BW6" s="177">
        <v>626</v>
      </c>
      <c r="BX6" s="177">
        <v>680</v>
      </c>
      <c r="BY6" s="177">
        <v>680</v>
      </c>
      <c r="BZ6" s="177">
        <v>680</v>
      </c>
      <c r="CA6" s="177">
        <v>680</v>
      </c>
      <c r="CB6" s="177" t="s">
        <v>391</v>
      </c>
      <c r="CC6" s="177" t="s">
        <v>391</v>
      </c>
      <c r="CD6" s="177" t="s">
        <v>391</v>
      </c>
      <c r="CE6" s="177" t="s">
        <v>391</v>
      </c>
      <c r="CF6" s="177" t="s">
        <v>391</v>
      </c>
      <c r="CG6" s="177" t="s">
        <v>391</v>
      </c>
      <c r="CH6" s="177" t="s">
        <v>391</v>
      </c>
      <c r="CI6" s="177" t="s">
        <v>391</v>
      </c>
      <c r="CJ6" s="177" t="s">
        <v>391</v>
      </c>
      <c r="CK6" s="177" t="s">
        <v>391</v>
      </c>
      <c r="CL6" s="177" t="s">
        <v>391</v>
      </c>
    </row>
    <row r="7" spans="1:90">
      <c r="A7" s="165" t="s">
        <v>29</v>
      </c>
      <c r="B7" s="164" t="s">
        <v>30</v>
      </c>
      <c r="C7" s="164" t="s">
        <v>31</v>
      </c>
      <c r="D7" s="164" t="s">
        <v>41</v>
      </c>
      <c r="E7" s="164" t="s">
        <v>42</v>
      </c>
      <c r="F7" s="164" t="s">
        <v>43</v>
      </c>
      <c r="G7" s="164" t="s">
        <v>80</v>
      </c>
      <c r="H7" s="165" t="s">
        <v>101</v>
      </c>
      <c r="I7" s="176"/>
      <c r="J7" s="176"/>
      <c r="K7" s="176"/>
      <c r="L7" s="176"/>
      <c r="M7" s="176"/>
      <c r="N7" s="176"/>
      <c r="O7" s="176"/>
      <c r="P7" s="176" t="s">
        <v>1</v>
      </c>
      <c r="Q7" s="176">
        <v>35</v>
      </c>
      <c r="R7" s="176">
        <v>35</v>
      </c>
      <c r="S7" s="176">
        <v>35</v>
      </c>
      <c r="T7" s="177">
        <v>57</v>
      </c>
      <c r="U7" s="177">
        <v>57</v>
      </c>
      <c r="V7" s="177">
        <v>57</v>
      </c>
      <c r="W7" s="177">
        <v>83</v>
      </c>
      <c r="X7" s="177">
        <v>83</v>
      </c>
      <c r="Y7" s="177">
        <v>83</v>
      </c>
      <c r="Z7" s="177">
        <v>120</v>
      </c>
      <c r="AA7" s="177">
        <v>120</v>
      </c>
      <c r="AB7" s="177">
        <v>145</v>
      </c>
      <c r="AC7" s="177">
        <v>190</v>
      </c>
      <c r="AD7" s="177">
        <v>190</v>
      </c>
      <c r="AE7" s="177">
        <v>340</v>
      </c>
      <c r="AF7" s="177">
        <v>340</v>
      </c>
      <c r="AG7" s="177">
        <v>340</v>
      </c>
      <c r="AH7" s="177">
        <v>340</v>
      </c>
      <c r="AI7" s="177">
        <v>800</v>
      </c>
      <c r="AJ7" s="177">
        <v>800</v>
      </c>
      <c r="AK7" s="177">
        <v>900</v>
      </c>
      <c r="BJ7" s="177">
        <v>96</v>
      </c>
      <c r="BK7" s="177">
        <v>61</v>
      </c>
      <c r="BL7" s="177">
        <v>10</v>
      </c>
      <c r="BM7" s="178"/>
      <c r="BP7" s="120" t="s">
        <v>463</v>
      </c>
      <c r="BQ7" s="177" t="s">
        <v>12</v>
      </c>
      <c r="BR7" s="177" t="s">
        <v>391</v>
      </c>
      <c r="BS7" s="177" t="s">
        <v>391</v>
      </c>
      <c r="BT7" s="177" t="s">
        <v>391</v>
      </c>
      <c r="BU7" s="177" t="s">
        <v>391</v>
      </c>
      <c r="BV7" s="177" t="s">
        <v>391</v>
      </c>
      <c r="BW7" s="177" t="s">
        <v>391</v>
      </c>
      <c r="BX7" s="177" t="s">
        <v>391</v>
      </c>
      <c r="BY7" s="177" t="s">
        <v>391</v>
      </c>
      <c r="BZ7" s="177">
        <v>1050</v>
      </c>
      <c r="CA7" s="177">
        <v>1050</v>
      </c>
      <c r="CB7" s="177">
        <v>1050</v>
      </c>
      <c r="CC7" s="177">
        <v>1050</v>
      </c>
      <c r="CD7" s="177" t="s">
        <v>391</v>
      </c>
      <c r="CE7" s="177" t="s">
        <v>391</v>
      </c>
      <c r="CF7" s="177" t="s">
        <v>391</v>
      </c>
      <c r="CG7" s="177" t="s">
        <v>391</v>
      </c>
      <c r="CH7" s="177" t="s">
        <v>391</v>
      </c>
      <c r="CI7" s="177" t="s">
        <v>391</v>
      </c>
      <c r="CJ7" s="177" t="s">
        <v>391</v>
      </c>
      <c r="CK7" s="177" t="s">
        <v>391</v>
      </c>
      <c r="CL7" s="177" t="s">
        <v>391</v>
      </c>
    </row>
    <row r="8" spans="1:90">
      <c r="A8" s="169" t="s">
        <v>24</v>
      </c>
      <c r="B8" s="168" t="str">
        <f>IF(F4="","",VLOOKUP($F$4,$Z$10:$AA$12,2,FALSE))</f>
        <v>6-Row Evap.</v>
      </c>
      <c r="C8" s="166">
        <f>IF($F$4="","",IF($K$4="0",IF(F4="A",IF(G8="y",INDEX(Q3:AK4,MATCH(LEFT(B4,3),P3:P4,0),MATCH(C4,Q2:AK2,0))+H8,""),IF(G8="y",INDEX(Q7:AK8,MATCH(LEFT(B4,3),P7:P8,0),MATCH(C4,Q2:AK2,0))+H8,"")),IF(F4="A",IF(G8="y",HLOOKUP(C4,$Q$2:$AK$8,3,FALSE)+H8,""),IF(G8="y",HLOOKUP(C4,$Q$2:$AK$8,7,FALSE)+H8,""))))</f>
        <v>800</v>
      </c>
      <c r="D8" s="166">
        <f>IF($J$4="000",INDEX($Q$11:$S$19,MATCH($D$4,$P$11:$P$19,0),MATCH(D7,$Q$10:$S$10,0)),INDEX($V$11:$X$19,MATCH($D$4,$P$11:$P$19,0),MATCH(D7,$Q$10:$S$10,0)))</f>
        <v>60</v>
      </c>
      <c r="E8" s="166">
        <f>IF($J$4="000",INDEX($Q$11:$S$19,MATCH($D$4,$P$11:$P$19,0),MATCH(E7,$Q$10:$S$10,0)),INDEX($V$11:$X$19,MATCH($D$4,$P$11:$P$19,0),MATCH(E7,$Q$10:$S$10,0)))</f>
        <v>55</v>
      </c>
      <c r="F8" s="166">
        <f>IF($J$4="000",INDEX($Q$11:$S$19,MATCH($D$4,$P$11:$P$19,0),MATCH(F7,$Q$10:$S$10,0)),INDEX($V$11:$X$19,MATCH($D$4,$P$11:$P$19,0),MATCH(F7,$Q$10:$S$10,0)))</f>
        <v>54</v>
      </c>
      <c r="G8" s="168" t="s">
        <v>20</v>
      </c>
      <c r="H8" s="169">
        <v>0</v>
      </c>
      <c r="I8" s="176"/>
      <c r="J8" s="176"/>
      <c r="K8" s="176"/>
      <c r="L8" s="176"/>
      <c r="M8" s="176"/>
      <c r="N8" s="176"/>
      <c r="O8" s="176"/>
      <c r="P8" s="176" t="s">
        <v>89</v>
      </c>
      <c r="Q8" s="176">
        <v>83</v>
      </c>
      <c r="R8" s="176">
        <v>83</v>
      </c>
      <c r="S8" s="176">
        <v>83</v>
      </c>
      <c r="T8" s="177">
        <v>120</v>
      </c>
      <c r="U8" s="177">
        <v>120</v>
      </c>
      <c r="V8" s="177">
        <v>120</v>
      </c>
      <c r="W8" s="177">
        <v>145</v>
      </c>
      <c r="X8" s="177">
        <v>145</v>
      </c>
      <c r="Y8" s="177">
        <v>190</v>
      </c>
      <c r="Z8" s="177">
        <v>190</v>
      </c>
      <c r="AA8" s="177">
        <v>190</v>
      </c>
      <c r="AB8" s="177">
        <v>340</v>
      </c>
      <c r="AC8" s="177">
        <v>340</v>
      </c>
      <c r="AD8" s="177">
        <v>340</v>
      </c>
      <c r="AE8" s="177">
        <v>800</v>
      </c>
      <c r="AF8" s="177">
        <v>800</v>
      </c>
      <c r="AG8" s="177">
        <v>800</v>
      </c>
      <c r="AH8" s="177">
        <v>900</v>
      </c>
      <c r="BJ8" s="177">
        <v>120</v>
      </c>
      <c r="BK8" s="177">
        <v>80</v>
      </c>
      <c r="BL8" s="177">
        <v>12</v>
      </c>
      <c r="BM8" s="178"/>
      <c r="BP8" s="120" t="s">
        <v>465</v>
      </c>
      <c r="BQ8" s="177" t="s">
        <v>13</v>
      </c>
      <c r="BR8" s="177" t="s">
        <v>391</v>
      </c>
      <c r="BS8" s="177" t="s">
        <v>391</v>
      </c>
      <c r="BT8" s="177" t="s">
        <v>391</v>
      </c>
      <c r="BU8" s="177" t="s">
        <v>391</v>
      </c>
      <c r="BV8" s="177" t="s">
        <v>391</v>
      </c>
      <c r="BW8" s="177" t="s">
        <v>391</v>
      </c>
      <c r="BX8" s="177" t="s">
        <v>391</v>
      </c>
      <c r="BY8" s="177" t="s">
        <v>391</v>
      </c>
      <c r="BZ8" s="177">
        <v>987</v>
      </c>
      <c r="CA8" s="177">
        <v>987</v>
      </c>
      <c r="CB8" s="177">
        <v>950</v>
      </c>
      <c r="CC8" s="177" t="s">
        <v>391</v>
      </c>
      <c r="CD8" s="177" t="s">
        <v>391</v>
      </c>
      <c r="CE8" s="177" t="s">
        <v>391</v>
      </c>
      <c r="CF8" s="177" t="s">
        <v>391</v>
      </c>
      <c r="CG8" s="177" t="s">
        <v>391</v>
      </c>
      <c r="CH8" s="177" t="s">
        <v>391</v>
      </c>
      <c r="CI8" s="177" t="s">
        <v>391</v>
      </c>
      <c r="CJ8" s="177" t="s">
        <v>391</v>
      </c>
      <c r="CK8" s="177" t="s">
        <v>391</v>
      </c>
      <c r="CL8" s="177" t="s">
        <v>391</v>
      </c>
    </row>
    <row r="9" spans="1:90">
      <c r="A9" s="169" t="s">
        <v>38</v>
      </c>
      <c r="B9" s="168" t="str">
        <f>IF(RIGHT($I$4,1)="M","ECM",VLOOKUP(LEFT(I4,2),Z22:AB75,2,FALSE)&amp;" inch FAN"&amp;"; "&amp;VLOOKUP(RIGHT(I4,1),AF22:AH35,2,FALSE)&amp;"HP")</f>
        <v>25 inch FAN; 15HP</v>
      </c>
      <c r="C9" s="166">
        <f>IF(LEFT(I4,1)="E",VLOOKUP(LEFT(I4,2),Z22:AB75,3,FALSE)+2*VLOOKUP(RIGHT(I4,1),AF22:AH35,3,FALSE),VLOOKUP(LEFT(I4,2),Z22:AB75,3,FALSE)+VLOOKUP(RIGHT(I4,1),AF22:AH35,3,FALSE))</f>
        <v>356.20000000000005</v>
      </c>
      <c r="D9" s="166">
        <f>IF($J$4="000",INDEX($Q$23:$S$31,MATCH($D$4,$P$23:$P$31,0),MATCH(D$7,$Q$22:$S$22,0)),INDEX($V$23:$X$31,MATCH($D$4,$U$23:$U$31,0),MATCH(D$7,$V$22:$X$22,0)))</f>
        <v>162</v>
      </c>
      <c r="E9" s="166">
        <f>IF($J$4="000",INDEX($Q$23:$S$31,MATCH($D$4,$P$23:$P$31,0),MATCH(E$7,$Q$22:$S$22,0)),INDEX($V$23:$X$31,MATCH($D$4,$U$23:$U$31,0),MATCH(E$7,$V$22:$X$22,0)))</f>
        <v>54</v>
      </c>
      <c r="F9" s="166">
        <f>IF($J$4="000",INDEX($Q$23:$S$31,MATCH($D$4,$P$23:$P$31,0),MATCH(F$7,$Q$22:$S$22,0)),INDEX($V$23:$X$31,MATCH($D$4,$U$23:$U$31,0),MATCH(F$7,$V$22:$X$22,0)))</f>
        <v>54</v>
      </c>
      <c r="G9" s="168" t="s">
        <v>20</v>
      </c>
      <c r="H9" s="169">
        <v>0</v>
      </c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AM9" s="177" t="s">
        <v>187</v>
      </c>
      <c r="AN9" s="177">
        <v>36</v>
      </c>
      <c r="AO9" s="177">
        <v>48</v>
      </c>
      <c r="AP9" s="177">
        <v>60</v>
      </c>
      <c r="AQ9" s="177">
        <v>72</v>
      </c>
      <c r="AR9" s="177">
        <v>84</v>
      </c>
      <c r="AS9" s="177">
        <v>96</v>
      </c>
      <c r="AT9" s="177">
        <v>120</v>
      </c>
      <c r="AU9" s="177">
        <v>150</v>
      </c>
      <c r="AV9" s="177">
        <v>180</v>
      </c>
      <c r="AW9" s="177">
        <v>210</v>
      </c>
      <c r="AX9" s="177">
        <v>240</v>
      </c>
      <c r="AY9" s="177">
        <v>300</v>
      </c>
      <c r="AZ9" s="177">
        <v>360</v>
      </c>
      <c r="BA9" s="177">
        <v>420</v>
      </c>
      <c r="BB9" s="177">
        <v>480</v>
      </c>
      <c r="BC9" s="177">
        <v>540</v>
      </c>
      <c r="BD9" s="177">
        <v>600</v>
      </c>
      <c r="BE9" s="177">
        <v>660</v>
      </c>
      <c r="BF9" s="177">
        <v>720</v>
      </c>
      <c r="BG9" s="177">
        <v>780</v>
      </c>
      <c r="BH9" s="177">
        <v>840</v>
      </c>
      <c r="BJ9" s="177">
        <v>150</v>
      </c>
      <c r="BK9" s="177">
        <v>80</v>
      </c>
      <c r="BL9" s="177">
        <v>12</v>
      </c>
      <c r="BM9" s="178"/>
      <c r="BP9" s="120" t="s">
        <v>467</v>
      </c>
      <c r="BQ9" s="178" t="s">
        <v>94</v>
      </c>
      <c r="BR9" s="177" t="s">
        <v>391</v>
      </c>
      <c r="BS9" s="177" t="s">
        <v>391</v>
      </c>
      <c r="BT9" s="177" t="s">
        <v>391</v>
      </c>
      <c r="BU9" s="177" t="s">
        <v>391</v>
      </c>
      <c r="BV9" s="177">
        <v>626</v>
      </c>
      <c r="BW9" s="177">
        <v>626</v>
      </c>
      <c r="BX9" s="177">
        <v>700</v>
      </c>
      <c r="BY9" s="177">
        <v>700</v>
      </c>
      <c r="BZ9" s="177">
        <v>700</v>
      </c>
      <c r="CA9" s="177">
        <v>700</v>
      </c>
      <c r="CB9" s="177">
        <v>838</v>
      </c>
      <c r="CC9" s="177" t="s">
        <v>391</v>
      </c>
      <c r="CD9" s="177" t="s">
        <v>391</v>
      </c>
      <c r="CE9" s="177" t="s">
        <v>391</v>
      </c>
      <c r="CF9" s="177" t="s">
        <v>391</v>
      </c>
      <c r="CG9" s="177" t="s">
        <v>391</v>
      </c>
      <c r="CH9" s="177" t="s">
        <v>391</v>
      </c>
      <c r="CI9" s="177" t="s">
        <v>391</v>
      </c>
      <c r="CJ9" s="177" t="s">
        <v>391</v>
      </c>
      <c r="CK9" s="177" t="s">
        <v>391</v>
      </c>
      <c r="CL9" s="177" t="s">
        <v>391</v>
      </c>
    </row>
    <row r="10" spans="1:90">
      <c r="A10" s="169" t="s">
        <v>75</v>
      </c>
      <c r="B10" s="168" t="str">
        <f>IF($F$4="","",IF($K$4="0",IF(G10="y",INDEX($AN$3:$BH$4,MATCH(LEFT(B4,3),AM3:AM4,0),MATCH(C4,AN2:BH2,0)),""),IF(G10="y",HLOOKUP(C4,$AN$2:$BH$4,3,FALSE),"")))</f>
        <v>ZPT240</v>
      </c>
      <c r="C10" s="166">
        <f>IF($F$4="","",IF($K$4="0",IF(G10="y",INDEX($AN$5:$BH$6,MATCH(LEFT(B4,3),AM5:AM6,0),MATCH(C4,AN2:BH2,0))+H10,""),IF(G10="y",HLOOKUP(C4,$AN$2:$BH$6,5,FALSE)+H10,"")))</f>
        <v>289</v>
      </c>
      <c r="D10" s="166">
        <f>IF($J$4="000",INDEX($Q$59:$S$67,MATCH($D$4,$P$59:$P$67,0),MATCH(D$7,$Q$58:$S$58,0)),INDEX($V$59:$X$67,MATCH($D$4,$U$59:$U$67,0),MATCH(D$7,$V$58:$X$58,0)))</f>
        <v>100</v>
      </c>
      <c r="E10" s="166">
        <f>IF($J$4="000",INDEX($Q$59:$S$67,MATCH($D$4,$P$59:$P$67,0),MATCH(E$7,$Q$58:$S$58,0)),INDEX($V$59:$X$67,MATCH($D$4,$U$59:$U$67,0),MATCH(E$7,$V$58:$X$58,0)))</f>
        <v>20</v>
      </c>
      <c r="F10" s="166">
        <f>IF($J$4="000",INDEX($Q$59:$S$67,MATCH($D$4,$P$59:$P$67,0),MATCH(F$7,$Q$58:$S$58,0)),INDEX($V$59:$X$67,MATCH($D$4,$U$59:$U$67,0),MATCH(F$7,$V$58:$X$58,0)))</f>
        <v>32</v>
      </c>
      <c r="G10" s="168" t="str">
        <f>IF(RIGHT(B4,1)="F","n","y")</f>
        <v>y</v>
      </c>
      <c r="H10" s="169">
        <v>0</v>
      </c>
      <c r="I10" s="176"/>
      <c r="J10" s="176"/>
      <c r="K10" s="176"/>
      <c r="L10" s="176"/>
      <c r="M10" s="176"/>
      <c r="N10" s="176"/>
      <c r="O10" s="176"/>
      <c r="P10" s="168" t="s">
        <v>102</v>
      </c>
      <c r="Q10" s="168" t="s">
        <v>19</v>
      </c>
      <c r="R10" s="168" t="s">
        <v>20</v>
      </c>
      <c r="S10" s="168" t="s">
        <v>21</v>
      </c>
      <c r="U10" s="180" t="s">
        <v>102</v>
      </c>
      <c r="V10" s="180" t="s">
        <v>19</v>
      </c>
      <c r="W10" s="180" t="s">
        <v>20</v>
      </c>
      <c r="X10" s="180" t="s">
        <v>21</v>
      </c>
      <c r="Z10" s="180" t="s">
        <v>58</v>
      </c>
      <c r="AA10" s="181" t="s">
        <v>389</v>
      </c>
      <c r="AM10" s="167" t="s">
        <v>232</v>
      </c>
      <c r="AN10" s="177">
        <v>182.4</v>
      </c>
      <c r="AO10" s="177">
        <v>186.048</v>
      </c>
      <c r="AP10" s="177">
        <v>189.76895999999999</v>
      </c>
      <c r="AQ10" s="177">
        <v>193.56433920000001</v>
      </c>
      <c r="AR10" s="177">
        <v>197.43562598400001</v>
      </c>
      <c r="AS10" s="177">
        <v>201.38433850368003</v>
      </c>
      <c r="AT10" s="177">
        <v>205.41202527375364</v>
      </c>
      <c r="AU10" s="177">
        <v>209.52026577922871</v>
      </c>
      <c r="AV10" s="177">
        <v>213.71067109481328</v>
      </c>
      <c r="AW10" s="177">
        <v>217.98488451670954</v>
      </c>
      <c r="AX10" s="177">
        <v>222.34458220704374</v>
      </c>
      <c r="AY10" s="177">
        <v>231.32730332820833</v>
      </c>
      <c r="AZ10" s="177">
        <v>235.9538493947725</v>
      </c>
      <c r="BA10" s="177">
        <v>240.67292638266795</v>
      </c>
      <c r="BB10" s="177">
        <v>245.48638491032131</v>
      </c>
      <c r="BC10" s="177">
        <v>250.39611260852774</v>
      </c>
      <c r="BD10" s="177">
        <v>255.40403486069832</v>
      </c>
      <c r="BE10" s="177">
        <v>260.5121155579123</v>
      </c>
      <c r="BF10" s="177">
        <f>$BE10*1.15</f>
        <v>299.58893289159914</v>
      </c>
      <c r="BG10" s="177">
        <f t="shared" ref="BG10:BH10" si="0">$BE10*1.15</f>
        <v>299.58893289159914</v>
      </c>
      <c r="BH10" s="177">
        <f t="shared" si="0"/>
        <v>299.58893289159914</v>
      </c>
      <c r="BJ10" s="177">
        <v>180</v>
      </c>
      <c r="BK10" s="177">
        <v>122</v>
      </c>
      <c r="BL10" s="177">
        <v>20</v>
      </c>
      <c r="BM10" s="178"/>
      <c r="BP10" s="120" t="s">
        <v>469</v>
      </c>
      <c r="BQ10" s="177" t="s">
        <v>27</v>
      </c>
      <c r="BR10" s="177" t="s">
        <v>391</v>
      </c>
      <c r="BS10" s="177" t="s">
        <v>391</v>
      </c>
      <c r="BT10" s="177" t="s">
        <v>391</v>
      </c>
      <c r="BU10" s="177" t="s">
        <v>391</v>
      </c>
      <c r="BV10" s="177" t="s">
        <v>391</v>
      </c>
      <c r="BW10" s="177" t="s">
        <v>391</v>
      </c>
      <c r="BX10" s="177" t="s">
        <v>391</v>
      </c>
      <c r="BY10" s="177" t="s">
        <v>391</v>
      </c>
      <c r="BZ10" s="177">
        <v>1050</v>
      </c>
      <c r="CA10" s="177">
        <v>1050</v>
      </c>
      <c r="CB10" s="177">
        <v>1050</v>
      </c>
      <c r="CC10" s="177">
        <v>1050</v>
      </c>
      <c r="CD10" s="177" t="s">
        <v>391</v>
      </c>
      <c r="CE10" s="177" t="s">
        <v>391</v>
      </c>
      <c r="CF10" s="177" t="s">
        <v>391</v>
      </c>
      <c r="CG10" s="177" t="s">
        <v>391</v>
      </c>
      <c r="CH10" s="177" t="s">
        <v>391</v>
      </c>
      <c r="CI10" s="177" t="s">
        <v>391</v>
      </c>
      <c r="CJ10" s="177" t="s">
        <v>391</v>
      </c>
      <c r="CK10" s="177" t="s">
        <v>391</v>
      </c>
      <c r="CL10" s="177" t="s">
        <v>391</v>
      </c>
    </row>
    <row r="11" spans="1:90">
      <c r="A11" s="169" t="s">
        <v>76</v>
      </c>
      <c r="B11" s="168" t="str">
        <f>IF($C$4&gt;96,B10,"")</f>
        <v>ZPT240</v>
      </c>
      <c r="C11" s="166">
        <f>IF($C$4&gt;96,C10,"")</f>
        <v>289</v>
      </c>
      <c r="D11" s="166">
        <f>IF($J$4="000",INDEX($Q$71:$S$79,MATCH($D$4,$P$71:$P$79,0),MATCH(D$7,$Q$70:$S$70,0)),INDEX($V$71:$X$79,MATCH($D$4,$U$71:$U$79,0),MATCH(D$7,$V$70:$X$70,0)))</f>
        <v>180</v>
      </c>
      <c r="E11" s="166">
        <f>IF($J$4="000",INDEX($Q$71:$S$79,MATCH($D$4,$P$71:$P$79,0),MATCH(E$7,$Q$70:$S$70,0)),INDEX($V$71:$X$79,MATCH($D$4,$U$71:$U$79,0),MATCH(E$7,$V$70:$X$70,0)))</f>
        <v>20</v>
      </c>
      <c r="F11" s="166">
        <f>IF($J$4="000",INDEX($Q$71:$S$79,MATCH($D$4,$P$71:$P$79,0),MATCH(F$7,$Q$70:$S$70,0)),INDEX($V$71:$X$79,MATCH($D$4,$U$71:$U$79,0),MATCH(F$7,$V$70:$X$70,0)))</f>
        <v>32</v>
      </c>
      <c r="G11" s="168" t="s">
        <v>20</v>
      </c>
      <c r="H11" s="169">
        <v>0</v>
      </c>
      <c r="I11" s="176"/>
      <c r="J11" s="176"/>
      <c r="K11" s="176"/>
      <c r="L11" s="176"/>
      <c r="M11" s="176"/>
      <c r="N11" s="176"/>
      <c r="O11" s="176"/>
      <c r="P11" s="168" t="s">
        <v>58</v>
      </c>
      <c r="Q11" s="168">
        <v>24</v>
      </c>
      <c r="R11" s="168">
        <v>38</v>
      </c>
      <c r="S11" s="168">
        <v>40</v>
      </c>
      <c r="U11" s="180" t="s">
        <v>58</v>
      </c>
      <c r="V11" s="180">
        <v>60</v>
      </c>
      <c r="W11" s="180">
        <v>38</v>
      </c>
      <c r="X11" s="180">
        <v>40</v>
      </c>
      <c r="Z11" s="180" t="s">
        <v>85</v>
      </c>
      <c r="AA11" s="177" t="s">
        <v>390</v>
      </c>
      <c r="AM11" s="167" t="s">
        <v>77</v>
      </c>
      <c r="AN11" s="177">
        <v>11.3</v>
      </c>
      <c r="AO11" s="177">
        <v>11.3</v>
      </c>
      <c r="AP11" s="177">
        <v>11.3</v>
      </c>
      <c r="AQ11" s="177">
        <v>14.5</v>
      </c>
      <c r="AR11" s="177">
        <v>14.5</v>
      </c>
      <c r="AS11" s="177">
        <v>14.5</v>
      </c>
      <c r="AT11" s="177">
        <v>11.3</v>
      </c>
      <c r="AU11" s="177">
        <v>14.5</v>
      </c>
      <c r="AV11" s="177">
        <v>14.5</v>
      </c>
      <c r="AW11" s="177">
        <v>14.5</v>
      </c>
      <c r="AX11" s="177">
        <v>14.5</v>
      </c>
      <c r="AY11" s="177">
        <v>18</v>
      </c>
      <c r="AZ11" s="177">
        <v>18</v>
      </c>
      <c r="BA11" s="177">
        <v>18</v>
      </c>
      <c r="BB11" s="177">
        <v>20.5</v>
      </c>
      <c r="BC11" s="177">
        <v>20.5</v>
      </c>
      <c r="BD11" s="177">
        <v>20.5</v>
      </c>
      <c r="BE11" s="177">
        <v>20.5</v>
      </c>
      <c r="BF11" s="177">
        <f t="shared" ref="BF11:BH15" si="1">$BE11*1.15</f>
        <v>23.574999999999999</v>
      </c>
      <c r="BG11" s="177">
        <f t="shared" si="1"/>
        <v>23.574999999999999</v>
      </c>
      <c r="BH11" s="177">
        <f t="shared" si="1"/>
        <v>23.574999999999999</v>
      </c>
      <c r="BJ11" s="177">
        <v>210</v>
      </c>
      <c r="BK11" s="177">
        <v>144</v>
      </c>
      <c r="BL11" s="177">
        <v>20</v>
      </c>
      <c r="BM11" s="178"/>
      <c r="BP11" s="120" t="s">
        <v>471</v>
      </c>
      <c r="BQ11" s="178" t="s">
        <v>14</v>
      </c>
      <c r="BR11" s="177" t="s">
        <v>391</v>
      </c>
      <c r="BS11" s="177" t="s">
        <v>391</v>
      </c>
      <c r="BT11" s="177" t="s">
        <v>391</v>
      </c>
      <c r="BU11" s="177" t="s">
        <v>391</v>
      </c>
      <c r="BV11" s="177" t="s">
        <v>391</v>
      </c>
      <c r="BW11" s="177" t="s">
        <v>391</v>
      </c>
      <c r="BX11" s="177" t="s">
        <v>391</v>
      </c>
      <c r="BY11" s="177" t="s">
        <v>391</v>
      </c>
      <c r="BZ11" s="177">
        <v>1114</v>
      </c>
      <c r="CA11" s="177">
        <v>1114</v>
      </c>
      <c r="CB11" s="177">
        <v>1114</v>
      </c>
      <c r="CC11" s="177">
        <v>1114</v>
      </c>
      <c r="CD11" s="177">
        <v>1114</v>
      </c>
      <c r="CE11" s="177">
        <v>1114</v>
      </c>
      <c r="CF11" s="177" t="s">
        <v>391</v>
      </c>
      <c r="CG11" s="177" t="s">
        <v>391</v>
      </c>
      <c r="CH11" s="177" t="s">
        <v>391</v>
      </c>
      <c r="CI11" s="177" t="s">
        <v>391</v>
      </c>
      <c r="CJ11" s="177" t="s">
        <v>391</v>
      </c>
      <c r="CK11" s="177" t="s">
        <v>391</v>
      </c>
      <c r="CL11" s="177" t="s">
        <v>391</v>
      </c>
    </row>
    <row r="12" spans="1:90">
      <c r="A12" s="169" t="s">
        <v>98</v>
      </c>
      <c r="B12" s="168"/>
      <c r="C12" s="166" t="b">
        <f>IF($F$4="","",IF(OR(RIGHT($B$4,1)="A",RIGHT($B$4,1)="H"),IF($G$12="y",INDEX($BR$3:$CL$32,MATCH($B$5,$BQ$3:$BQ$32,0),MATCH($C$4,$BR$2:$CL$2,0))+$H$12,"")))</f>
        <v>0</v>
      </c>
      <c r="D12" s="166">
        <f>IF($J$4="000",INDEX($BK$46:$BM$84,MATCH($B$5,$BJ$46:$BJ$84,0),MATCH(D$7,$BK$45:$BM$45,0)),INDEX($BN$46:$BP$84,MATCH($B$5,$BJ$46:$BJ$84,0),MATCH(D$7,$BN$45:$BP$45,0)))</f>
        <v>0</v>
      </c>
      <c r="E12" s="166">
        <f>IF($J$4="000",INDEX($BK$46:$BM$84,MATCH($B$5,$BJ$46:$BJ$84,0),MATCH(E$7,$BK$45:$BM$45,0)),INDEX($BN$46:$BP$84,MATCH($B$5,$BJ$46:$BJ$84,0),MATCH(E$7,$BN$45:$BP$45,0)))</f>
        <v>0</v>
      </c>
      <c r="F12" s="166">
        <f>IF($J$4="000",INDEX($BK$46:$BM$84,MATCH($B$5,$BJ$46:$BJ$84,0),MATCH(F$7,$BK$45:$BM$45,0)),INDEX($BN$46:$BP$84,MATCH($B$5,$BJ$46:$BJ$84,0),MATCH(F$7,$BN$45:$BP$45,0)))</f>
        <v>0</v>
      </c>
      <c r="G12" s="168" t="s">
        <v>20</v>
      </c>
      <c r="H12" s="169">
        <v>0</v>
      </c>
      <c r="I12" s="176"/>
      <c r="J12" s="176"/>
      <c r="K12" s="176"/>
      <c r="L12" s="176"/>
      <c r="M12" s="176"/>
      <c r="N12" s="176"/>
      <c r="O12" s="176"/>
      <c r="P12" s="168" t="s">
        <v>85</v>
      </c>
      <c r="Q12" s="168">
        <v>22.5</v>
      </c>
      <c r="R12" s="168">
        <v>38</v>
      </c>
      <c r="S12" s="168">
        <v>43</v>
      </c>
      <c r="U12" s="180" t="s">
        <v>85</v>
      </c>
      <c r="V12" s="180">
        <v>62</v>
      </c>
      <c r="W12" s="180">
        <v>38</v>
      </c>
      <c r="X12" s="180">
        <v>43</v>
      </c>
      <c r="AM12" s="167" t="s">
        <v>32</v>
      </c>
      <c r="AN12" s="177">
        <v>6</v>
      </c>
      <c r="AO12" s="177">
        <v>6</v>
      </c>
      <c r="AP12" s="177">
        <v>6</v>
      </c>
      <c r="AQ12" s="177">
        <v>6</v>
      </c>
      <c r="AR12" s="177">
        <v>6</v>
      </c>
      <c r="AS12" s="177">
        <v>6</v>
      </c>
      <c r="AT12" s="177">
        <v>12</v>
      </c>
      <c r="AU12" s="177">
        <v>12</v>
      </c>
      <c r="AV12" s="177">
        <v>12</v>
      </c>
      <c r="AW12" s="177">
        <v>12</v>
      </c>
      <c r="AX12" s="177">
        <v>14</v>
      </c>
      <c r="AY12" s="177">
        <v>14</v>
      </c>
      <c r="AZ12" s="177">
        <v>14</v>
      </c>
      <c r="BA12" s="177">
        <v>16</v>
      </c>
      <c r="BB12" s="177">
        <v>16</v>
      </c>
      <c r="BC12" s="177">
        <v>16</v>
      </c>
      <c r="BD12" s="177">
        <v>16</v>
      </c>
      <c r="BE12" s="177">
        <v>16</v>
      </c>
      <c r="BF12" s="177">
        <f t="shared" si="1"/>
        <v>18.399999999999999</v>
      </c>
      <c r="BG12" s="177">
        <f t="shared" si="1"/>
        <v>18.399999999999999</v>
      </c>
      <c r="BH12" s="177">
        <f t="shared" si="1"/>
        <v>18.399999999999999</v>
      </c>
      <c r="BJ12" s="177">
        <v>240</v>
      </c>
      <c r="BK12" s="177">
        <v>160</v>
      </c>
      <c r="BL12" s="177">
        <v>24</v>
      </c>
      <c r="BM12" s="178"/>
      <c r="BP12" s="120" t="s">
        <v>473</v>
      </c>
      <c r="BQ12" s="178" t="s">
        <v>15</v>
      </c>
      <c r="BR12" s="177" t="s">
        <v>391</v>
      </c>
      <c r="BS12" s="177" t="s">
        <v>391</v>
      </c>
      <c r="BT12" s="177" t="s">
        <v>391</v>
      </c>
      <c r="BU12" s="177" t="s">
        <v>391</v>
      </c>
      <c r="BV12" s="177" t="s">
        <v>391</v>
      </c>
      <c r="BW12" s="177" t="s">
        <v>391</v>
      </c>
      <c r="BX12" s="177" t="s">
        <v>391</v>
      </c>
      <c r="BY12" s="177" t="s">
        <v>391</v>
      </c>
      <c r="BZ12" s="177" t="s">
        <v>391</v>
      </c>
      <c r="CA12" s="177" t="s">
        <v>391</v>
      </c>
      <c r="CB12" s="177" t="s">
        <v>391</v>
      </c>
      <c r="CC12" s="177">
        <v>1316</v>
      </c>
      <c r="CD12" s="177">
        <v>1316</v>
      </c>
      <c r="CE12" s="177">
        <v>1316</v>
      </c>
      <c r="CF12" s="177" t="s">
        <v>391</v>
      </c>
      <c r="CG12" s="177" t="s">
        <v>391</v>
      </c>
      <c r="CH12" s="177" t="s">
        <v>391</v>
      </c>
      <c r="CI12" s="177" t="s">
        <v>391</v>
      </c>
      <c r="CJ12" s="177" t="s">
        <v>391</v>
      </c>
      <c r="CK12" s="177" t="s">
        <v>391</v>
      </c>
      <c r="CL12" s="177" t="s">
        <v>391</v>
      </c>
    </row>
    <row r="13" spans="1:90">
      <c r="A13" s="169" t="s">
        <v>99</v>
      </c>
      <c r="B13" s="168" t="str">
        <f>IF(OR(RIGHT($B$4,1)="W",RIGHT($B$4,1)="G"),"Water Source","")</f>
        <v>Water Source</v>
      </c>
      <c r="C13" s="166">
        <f>IF($F$4="","",IF(OR(RIGHT($B$4,1)="W",RIGHT($B$4,1)="G"),VLOOKUP($C$4,$BJ$1:$BL$22,2,FALSE)+H13,""))</f>
        <v>540</v>
      </c>
      <c r="D13" s="166">
        <f>IF($J$4="000",INDEX($Q$83:$S$91,MATCH($D$4,$P$83:$P$91,0),MATCH(D$7,$Q$82:$S$82,0)),INDEX($V$83:$X$91,MATCH($D$4,$U$83:$U$91,0),MATCH(D$7,$V$82:$X$82,0)))</f>
        <v>240</v>
      </c>
      <c r="E13" s="166">
        <f>IF($J$4="000",INDEX($Q$83:$S$91,MATCH($D$4,$P$83:$P$91,0),MATCH(E$7,$Q$82:$S$82,0)),INDEX($V$83:$X$91,MATCH($D$4,$U$83:$U$91,0),MATCH(E$7,$V$82:$X$82,0)))</f>
        <v>64</v>
      </c>
      <c r="F13" s="166">
        <f>IF($J$4="000",INDEX($Q$83:$S$91,MATCH($D$4,$P$83:$P$91,0),MATCH(F$7,$Q$82:$S$82,0)),INDEX($V$83:$X$91,MATCH($D$4,$U$83:$U$91,0),MATCH(F$7,$V$82:$X$82,0)))</f>
        <v>45</v>
      </c>
      <c r="G13" s="168" t="s">
        <v>20</v>
      </c>
      <c r="H13" s="169">
        <v>0</v>
      </c>
      <c r="I13" s="176"/>
      <c r="J13" s="176"/>
      <c r="K13" s="176"/>
      <c r="L13" s="176"/>
      <c r="M13" s="176"/>
      <c r="N13" s="176"/>
      <c r="O13" s="176"/>
      <c r="P13" s="168" t="s">
        <v>56</v>
      </c>
      <c r="Q13" s="168">
        <v>26</v>
      </c>
      <c r="R13" s="168">
        <v>38</v>
      </c>
      <c r="S13" s="168">
        <v>43</v>
      </c>
      <c r="U13" s="180" t="s">
        <v>56</v>
      </c>
      <c r="V13" s="180">
        <v>72</v>
      </c>
      <c r="W13" s="180">
        <v>38</v>
      </c>
      <c r="X13" s="180">
        <v>43</v>
      </c>
      <c r="AM13" s="168" t="s">
        <v>35</v>
      </c>
      <c r="AN13" s="177">
        <v>11.3</v>
      </c>
      <c r="AO13" s="177">
        <v>11.3</v>
      </c>
      <c r="AP13" s="177">
        <v>11.3</v>
      </c>
      <c r="AQ13" s="177">
        <v>14.5</v>
      </c>
      <c r="AR13" s="177">
        <v>14.5</v>
      </c>
      <c r="AS13" s="177">
        <v>14.5</v>
      </c>
      <c r="AT13" s="177">
        <v>11.3</v>
      </c>
      <c r="AU13" s="177">
        <v>14.5</v>
      </c>
      <c r="AV13" s="177">
        <v>14.5</v>
      </c>
      <c r="AW13" s="177">
        <v>14.5</v>
      </c>
      <c r="AX13" s="177">
        <v>14.5</v>
      </c>
      <c r="AY13" s="177">
        <v>18</v>
      </c>
      <c r="AZ13" s="177">
        <v>18</v>
      </c>
      <c r="BA13" s="177">
        <v>18</v>
      </c>
      <c r="BB13" s="177">
        <v>20.5</v>
      </c>
      <c r="BC13" s="177">
        <v>20.5</v>
      </c>
      <c r="BD13" s="177">
        <v>20.5</v>
      </c>
      <c r="BE13" s="177">
        <v>20.5</v>
      </c>
      <c r="BF13" s="177">
        <f t="shared" si="1"/>
        <v>23.574999999999999</v>
      </c>
      <c r="BG13" s="177">
        <f t="shared" si="1"/>
        <v>23.574999999999999</v>
      </c>
      <c r="BH13" s="177">
        <f t="shared" si="1"/>
        <v>23.574999999999999</v>
      </c>
      <c r="BJ13" s="177">
        <v>300</v>
      </c>
      <c r="BK13" s="177">
        <v>216</v>
      </c>
      <c r="BL13" s="177">
        <v>30</v>
      </c>
      <c r="BM13" s="178"/>
      <c r="BP13" s="120" t="s">
        <v>475</v>
      </c>
      <c r="BQ13" s="178" t="s">
        <v>91</v>
      </c>
      <c r="BR13" s="177" t="s">
        <v>391</v>
      </c>
      <c r="BS13" s="177" t="s">
        <v>391</v>
      </c>
      <c r="BT13" s="177" t="s">
        <v>391</v>
      </c>
      <c r="BU13" s="177" t="s">
        <v>391</v>
      </c>
      <c r="BV13" s="177" t="s">
        <v>391</v>
      </c>
      <c r="BW13" s="177" t="s">
        <v>391</v>
      </c>
      <c r="BX13" s="177" t="s">
        <v>391</v>
      </c>
      <c r="BY13" s="177" t="s">
        <v>391</v>
      </c>
      <c r="BZ13" s="177" t="s">
        <v>391</v>
      </c>
      <c r="CA13" s="177" t="s">
        <v>391</v>
      </c>
      <c r="CB13" s="177">
        <v>1114</v>
      </c>
      <c r="CC13" s="177">
        <v>1114</v>
      </c>
      <c r="CD13" s="177">
        <v>1114</v>
      </c>
      <c r="CE13" s="177">
        <v>1114</v>
      </c>
      <c r="CF13" s="177">
        <v>1114</v>
      </c>
      <c r="CG13" s="177" t="s">
        <v>391</v>
      </c>
      <c r="CH13" s="177" t="s">
        <v>391</v>
      </c>
      <c r="CI13" s="177" t="s">
        <v>391</v>
      </c>
      <c r="CJ13" s="177" t="s">
        <v>391</v>
      </c>
      <c r="CK13" s="177" t="s">
        <v>391</v>
      </c>
      <c r="CL13" s="177" t="s">
        <v>391</v>
      </c>
    </row>
    <row r="14" spans="1:90">
      <c r="A14" s="169" t="s">
        <v>232</v>
      </c>
      <c r="B14" s="168"/>
      <c r="C14" s="166">
        <f>INDEX($AN$10:$BH$12,MATCH($A14,$AM$10:$AM$12,0),MATCH($C$4,$AN$9:$BH$9,0))</f>
        <v>299.58893289159914</v>
      </c>
      <c r="D14" s="166">
        <f>D10+5</f>
        <v>105</v>
      </c>
      <c r="E14" s="166">
        <f>E10</f>
        <v>20</v>
      </c>
      <c r="F14" s="166">
        <f>F10</f>
        <v>32</v>
      </c>
      <c r="G14" s="168" t="s">
        <v>20</v>
      </c>
      <c r="H14" s="169">
        <v>0</v>
      </c>
      <c r="I14" s="176"/>
      <c r="J14" s="176"/>
      <c r="K14" s="176"/>
      <c r="L14" s="176"/>
      <c r="M14" s="176"/>
      <c r="N14" s="176"/>
      <c r="O14" s="176"/>
      <c r="P14" s="168" t="s">
        <v>86</v>
      </c>
      <c r="Q14" s="168">
        <v>32</v>
      </c>
      <c r="R14" s="168">
        <v>48</v>
      </c>
      <c r="S14" s="168">
        <v>63</v>
      </c>
      <c r="U14" s="180" t="s">
        <v>86</v>
      </c>
      <c r="V14" s="180">
        <v>100</v>
      </c>
      <c r="W14" s="180">
        <v>48</v>
      </c>
      <c r="X14" s="180">
        <v>63</v>
      </c>
      <c r="AM14" s="180" t="s">
        <v>22</v>
      </c>
      <c r="AN14" s="177">
        <v>10</v>
      </c>
      <c r="AO14" s="177">
        <v>10</v>
      </c>
      <c r="AP14" s="177">
        <v>10</v>
      </c>
      <c r="AQ14" s="177">
        <v>10</v>
      </c>
      <c r="AR14" s="177">
        <v>12</v>
      </c>
      <c r="AS14" s="177">
        <v>12</v>
      </c>
      <c r="AT14" s="177">
        <v>20</v>
      </c>
      <c r="AU14" s="177">
        <v>20</v>
      </c>
      <c r="AV14" s="177">
        <v>24</v>
      </c>
      <c r="AW14" s="177">
        <v>24</v>
      </c>
      <c r="AX14" s="177">
        <v>36</v>
      </c>
      <c r="AY14" s="177">
        <v>36</v>
      </c>
      <c r="AZ14" s="177">
        <v>36</v>
      </c>
      <c r="BA14" s="177">
        <v>36</v>
      </c>
      <c r="BB14" s="177">
        <v>36</v>
      </c>
      <c r="BC14" s="177">
        <v>36</v>
      </c>
      <c r="BD14" s="177">
        <v>54</v>
      </c>
      <c r="BE14" s="177">
        <v>54</v>
      </c>
      <c r="BF14" s="177">
        <f t="shared" si="1"/>
        <v>62.099999999999994</v>
      </c>
      <c r="BG14" s="177">
        <f t="shared" si="1"/>
        <v>62.099999999999994</v>
      </c>
      <c r="BH14" s="177">
        <f t="shared" si="1"/>
        <v>62.099999999999994</v>
      </c>
      <c r="BJ14" s="177">
        <v>360</v>
      </c>
      <c r="BK14" s="177">
        <v>240</v>
      </c>
      <c r="BL14" s="177">
        <v>36</v>
      </c>
      <c r="BM14" s="178"/>
      <c r="BP14" s="120" t="s">
        <v>477</v>
      </c>
      <c r="BQ14" s="178" t="s">
        <v>16</v>
      </c>
      <c r="BR14" s="177" t="s">
        <v>391</v>
      </c>
      <c r="BS14" s="177" t="s">
        <v>391</v>
      </c>
      <c r="BT14" s="177" t="s">
        <v>391</v>
      </c>
      <c r="BU14" s="177" t="s">
        <v>391</v>
      </c>
      <c r="BV14" s="177" t="s">
        <v>391</v>
      </c>
      <c r="BW14" s="177" t="s">
        <v>391</v>
      </c>
      <c r="BX14" s="177" t="s">
        <v>391</v>
      </c>
      <c r="BY14" s="177" t="s">
        <v>391</v>
      </c>
      <c r="BZ14" s="177" t="s">
        <v>391</v>
      </c>
      <c r="CA14" s="177" t="s">
        <v>391</v>
      </c>
      <c r="CB14" s="177" t="s">
        <v>391</v>
      </c>
      <c r="CC14" s="177">
        <v>1316</v>
      </c>
      <c r="CD14" s="177">
        <v>1316</v>
      </c>
      <c r="CE14" s="177">
        <v>1316</v>
      </c>
      <c r="CF14" s="177">
        <v>1472</v>
      </c>
      <c r="CG14" s="177" t="s">
        <v>391</v>
      </c>
      <c r="CH14" s="177" t="s">
        <v>391</v>
      </c>
      <c r="CI14" s="177" t="s">
        <v>391</v>
      </c>
      <c r="CJ14" s="177" t="s">
        <v>391</v>
      </c>
      <c r="CK14" s="177" t="s">
        <v>391</v>
      </c>
      <c r="CL14" s="177" t="s">
        <v>391</v>
      </c>
    </row>
    <row r="15" spans="1:90">
      <c r="A15" s="169" t="s">
        <v>77</v>
      </c>
      <c r="B15" s="168"/>
      <c r="C15" s="166">
        <f>IF($C$10="","",IF(OR(LEFT($B$4,3)="PRO",RIGHT($B$4,1)="H"),INDEX($AN$10:$BH$12,MATCH($A15,$AM$10:$AM$12,0),MATCH($C$4,$AN$9:$BH$9,0)),""))</f>
        <v>23.574999999999999</v>
      </c>
      <c r="D15" s="166">
        <f>D10-5</f>
        <v>95</v>
      </c>
      <c r="E15" s="166">
        <v>20</v>
      </c>
      <c r="F15" s="166">
        <v>12</v>
      </c>
      <c r="G15" s="168" t="s">
        <v>20</v>
      </c>
      <c r="H15" s="169">
        <v>0</v>
      </c>
      <c r="I15" s="176"/>
      <c r="J15" s="176"/>
      <c r="K15" s="176"/>
      <c r="L15" s="176"/>
      <c r="M15" s="176"/>
      <c r="N15" s="176"/>
      <c r="O15" s="176"/>
      <c r="P15" s="168" t="s">
        <v>103</v>
      </c>
      <c r="Q15" s="176">
        <v>31</v>
      </c>
      <c r="R15" s="176">
        <v>55</v>
      </c>
      <c r="S15" s="176">
        <v>54</v>
      </c>
      <c r="U15" s="180" t="s">
        <v>103</v>
      </c>
      <c r="V15" s="177">
        <v>125</v>
      </c>
      <c r="W15" s="177">
        <v>55</v>
      </c>
      <c r="X15" s="177">
        <v>54</v>
      </c>
      <c r="AM15" s="167" t="s">
        <v>79</v>
      </c>
      <c r="AN15" s="177">
        <v>150</v>
      </c>
      <c r="AO15" s="177">
        <v>153</v>
      </c>
      <c r="AP15" s="177">
        <v>156.06</v>
      </c>
      <c r="AQ15" s="177">
        <v>159.18120000000002</v>
      </c>
      <c r="AR15" s="177">
        <v>162.36482400000003</v>
      </c>
      <c r="AS15" s="177">
        <v>165.61212048000004</v>
      </c>
      <c r="AT15" s="177">
        <v>168.92436288960005</v>
      </c>
      <c r="AU15" s="177">
        <v>172.30285014739206</v>
      </c>
      <c r="AV15" s="177">
        <v>175.7489071503399</v>
      </c>
      <c r="AW15" s="177">
        <v>179.2638852933467</v>
      </c>
      <c r="AX15" s="177">
        <v>182.84916299921363</v>
      </c>
      <c r="AY15" s="177">
        <v>190.23626918438188</v>
      </c>
      <c r="AZ15" s="177">
        <v>194.04099456806952</v>
      </c>
      <c r="BA15" s="177">
        <v>197.92181445943092</v>
      </c>
      <c r="BB15" s="177">
        <v>201.88025074861955</v>
      </c>
      <c r="BC15" s="177">
        <v>205.91785576359194</v>
      </c>
      <c r="BD15" s="177">
        <v>210.03621287886378</v>
      </c>
      <c r="BE15" s="177">
        <v>214.23693713644107</v>
      </c>
      <c r="BF15" s="177">
        <f t="shared" si="1"/>
        <v>246.3724777069072</v>
      </c>
      <c r="BG15" s="177">
        <f t="shared" si="1"/>
        <v>246.3724777069072</v>
      </c>
      <c r="BH15" s="177">
        <f t="shared" si="1"/>
        <v>246.3724777069072</v>
      </c>
      <c r="BJ15" s="177">
        <v>420</v>
      </c>
      <c r="BK15" s="177">
        <v>240</v>
      </c>
      <c r="BL15" s="177">
        <v>36</v>
      </c>
      <c r="BM15" s="178"/>
      <c r="BP15" s="120" t="s">
        <v>479</v>
      </c>
      <c r="BQ15" s="178" t="s">
        <v>17</v>
      </c>
      <c r="BR15" s="177" t="s">
        <v>391</v>
      </c>
      <c r="BS15" s="177" t="s">
        <v>391</v>
      </c>
      <c r="BT15" s="177" t="s">
        <v>391</v>
      </c>
      <c r="BU15" s="177" t="s">
        <v>391</v>
      </c>
      <c r="BV15" s="177" t="s">
        <v>391</v>
      </c>
      <c r="BW15" s="177" t="s">
        <v>391</v>
      </c>
      <c r="BX15" s="177" t="s">
        <v>391</v>
      </c>
      <c r="BY15" s="177" t="s">
        <v>391</v>
      </c>
      <c r="BZ15" s="177" t="s">
        <v>391</v>
      </c>
      <c r="CA15" s="177" t="s">
        <v>391</v>
      </c>
      <c r="CB15" s="177" t="s">
        <v>391</v>
      </c>
      <c r="CC15" s="177" t="s">
        <v>391</v>
      </c>
      <c r="CD15" s="177" t="s">
        <v>391</v>
      </c>
      <c r="CE15" s="177" t="s">
        <v>391</v>
      </c>
      <c r="CF15" s="177" t="s">
        <v>391</v>
      </c>
      <c r="CG15" s="177" t="s">
        <v>391</v>
      </c>
      <c r="CH15" s="177" t="s">
        <v>391</v>
      </c>
      <c r="CI15" s="177" t="s">
        <v>391</v>
      </c>
      <c r="CJ15" s="177" t="s">
        <v>391</v>
      </c>
      <c r="CK15" s="177" t="s">
        <v>391</v>
      </c>
      <c r="CL15" s="177" t="s">
        <v>391</v>
      </c>
    </row>
    <row r="16" spans="1:90">
      <c r="A16" s="169" t="s">
        <v>78</v>
      </c>
      <c r="B16" s="168"/>
      <c r="C16" s="166">
        <f>IF($C$4&gt;96,C15,"")</f>
        <v>23.574999999999999</v>
      </c>
      <c r="D16" s="166">
        <f>IF(C16="","-",D11+5)</f>
        <v>185</v>
      </c>
      <c r="E16" s="166">
        <v>20</v>
      </c>
      <c r="F16" s="166">
        <v>12</v>
      </c>
      <c r="G16" s="168" t="s">
        <v>20</v>
      </c>
      <c r="H16" s="169">
        <v>0</v>
      </c>
      <c r="I16" s="176"/>
      <c r="J16" s="176"/>
      <c r="K16" s="176"/>
      <c r="L16" s="176"/>
      <c r="M16" s="176"/>
      <c r="N16" s="176"/>
      <c r="O16" s="176"/>
      <c r="P16" s="176" t="s">
        <v>61</v>
      </c>
      <c r="Q16" s="168">
        <v>22.5</v>
      </c>
      <c r="R16" s="168">
        <v>38</v>
      </c>
      <c r="S16" s="168">
        <v>43</v>
      </c>
      <c r="U16" s="176" t="s">
        <v>61</v>
      </c>
      <c r="V16" s="180">
        <v>62</v>
      </c>
      <c r="W16" s="180">
        <v>38</v>
      </c>
      <c r="X16" s="180">
        <v>43</v>
      </c>
      <c r="BJ16" s="177">
        <v>480</v>
      </c>
      <c r="BK16" s="177">
        <v>288</v>
      </c>
      <c r="BL16" s="177">
        <v>40</v>
      </c>
      <c r="BP16" s="177" t="s">
        <v>218</v>
      </c>
      <c r="BQ16" s="177" t="s">
        <v>218</v>
      </c>
      <c r="BR16" s="177" t="s">
        <v>391</v>
      </c>
      <c r="BS16" s="177" t="s">
        <v>391</v>
      </c>
      <c r="BT16" s="177" t="s">
        <v>391</v>
      </c>
      <c r="BU16" s="177" t="s">
        <v>391</v>
      </c>
      <c r="BV16" s="177" t="s">
        <v>391</v>
      </c>
      <c r="BW16" s="177" t="s">
        <v>391</v>
      </c>
      <c r="BX16" s="177" t="s">
        <v>391</v>
      </c>
      <c r="BY16" s="177" t="s">
        <v>391</v>
      </c>
      <c r="BZ16" s="177" t="s">
        <v>391</v>
      </c>
      <c r="CA16" s="177" t="s">
        <v>391</v>
      </c>
      <c r="CB16" s="177" t="s">
        <v>391</v>
      </c>
      <c r="CC16" s="177" t="s">
        <v>391</v>
      </c>
      <c r="CD16" s="177" t="s">
        <v>391</v>
      </c>
      <c r="CE16" s="177" t="s">
        <v>391</v>
      </c>
      <c r="CF16" s="177" t="s">
        <v>391</v>
      </c>
      <c r="CG16" s="177" t="s">
        <v>391</v>
      </c>
      <c r="CH16" s="177" t="s">
        <v>391</v>
      </c>
      <c r="CI16" s="177" t="s">
        <v>391</v>
      </c>
      <c r="CJ16" s="177" t="s">
        <v>391</v>
      </c>
      <c r="CK16" s="177" t="s">
        <v>391</v>
      </c>
      <c r="CL16" s="177" t="s">
        <v>391</v>
      </c>
    </row>
    <row r="17" spans="1:92">
      <c r="A17" s="169" t="s">
        <v>32</v>
      </c>
      <c r="B17" s="168"/>
      <c r="C17" s="166">
        <f>IF($C$10="","",IF(OR(LEFT($B$4,3)="PRO",RIGHT($B$4,1)="H"),INDEX($AN$10:$BH$12,MATCH($A17,$AM$10:$AM$12,0),MATCH($C$4,$AN$9:$BH$9,0)),""))</f>
        <v>18.399999999999999</v>
      </c>
      <c r="D17" s="166">
        <f>D10+5</f>
        <v>105</v>
      </c>
      <c r="E17" s="166">
        <v>10</v>
      </c>
      <c r="F17" s="166">
        <v>8</v>
      </c>
      <c r="G17" s="168" t="s">
        <v>20</v>
      </c>
      <c r="H17" s="169">
        <v>0</v>
      </c>
      <c r="I17" s="176"/>
      <c r="J17" s="176"/>
      <c r="K17" s="176"/>
      <c r="L17" s="176"/>
      <c r="M17" s="176"/>
      <c r="N17" s="176"/>
      <c r="O17" s="176"/>
      <c r="P17" s="176" t="s">
        <v>66</v>
      </c>
      <c r="Q17" s="168">
        <v>26</v>
      </c>
      <c r="R17" s="168">
        <v>38</v>
      </c>
      <c r="S17" s="168">
        <v>43</v>
      </c>
      <c r="U17" s="176" t="s">
        <v>66</v>
      </c>
      <c r="V17" s="180">
        <v>72</v>
      </c>
      <c r="W17" s="180">
        <v>38</v>
      </c>
      <c r="X17" s="180">
        <v>43</v>
      </c>
      <c r="AM17" s="168"/>
      <c r="BJ17" s="177">
        <v>540</v>
      </c>
      <c r="BK17" s="177">
        <v>320</v>
      </c>
      <c r="BL17" s="177">
        <v>48</v>
      </c>
      <c r="BP17" s="120" t="s">
        <v>481</v>
      </c>
      <c r="BQ17" s="177" t="s">
        <v>219</v>
      </c>
      <c r="BR17" s="177" t="s">
        <v>391</v>
      </c>
      <c r="BS17" s="177" t="s">
        <v>391</v>
      </c>
      <c r="BT17" s="177" t="s">
        <v>391</v>
      </c>
      <c r="BU17" s="177" t="s">
        <v>391</v>
      </c>
      <c r="BV17" s="177" t="s">
        <v>391</v>
      </c>
      <c r="BW17" s="177" t="s">
        <v>391</v>
      </c>
      <c r="BX17" s="177" t="s">
        <v>391</v>
      </c>
      <c r="BY17" s="177" t="s">
        <v>391</v>
      </c>
      <c r="BZ17" s="177" t="s">
        <v>391</v>
      </c>
      <c r="CA17" s="177" t="s">
        <v>391</v>
      </c>
      <c r="CB17" s="177" t="s">
        <v>391</v>
      </c>
      <c r="CC17" s="177" t="s">
        <v>391</v>
      </c>
      <c r="CD17" s="177" t="s">
        <v>391</v>
      </c>
      <c r="CE17" s="177" t="s">
        <v>391</v>
      </c>
      <c r="CF17" s="177">
        <v>1754</v>
      </c>
      <c r="CG17" s="177">
        <v>1754</v>
      </c>
      <c r="CH17" s="177">
        <v>1754</v>
      </c>
      <c r="CI17" s="177">
        <v>1754</v>
      </c>
      <c r="CJ17" s="177">
        <v>1754</v>
      </c>
      <c r="CK17" s="177">
        <v>1754</v>
      </c>
      <c r="CL17" s="177">
        <v>1754</v>
      </c>
    </row>
    <row r="18" spans="1:92">
      <c r="A18" s="169" t="s">
        <v>33</v>
      </c>
      <c r="B18" s="168"/>
      <c r="C18" s="166">
        <f>IF($C$4&gt;96,C17,"")</f>
        <v>18.399999999999999</v>
      </c>
      <c r="D18" s="166">
        <f>IF(C18="","-",D14+5)</f>
        <v>110</v>
      </c>
      <c r="E18" s="166">
        <v>10</v>
      </c>
      <c r="F18" s="166">
        <v>8</v>
      </c>
      <c r="G18" s="168" t="s">
        <v>20</v>
      </c>
      <c r="H18" s="169">
        <v>0</v>
      </c>
      <c r="I18" s="176"/>
      <c r="J18" s="176"/>
      <c r="K18" s="176"/>
      <c r="L18" s="176"/>
      <c r="M18" s="176"/>
      <c r="N18" s="176"/>
      <c r="O18" s="176"/>
      <c r="P18" s="176" t="s">
        <v>60</v>
      </c>
      <c r="Q18" s="168">
        <v>32</v>
      </c>
      <c r="R18" s="168">
        <v>48</v>
      </c>
      <c r="S18" s="168">
        <v>63</v>
      </c>
      <c r="U18" s="176" t="s">
        <v>60</v>
      </c>
      <c r="V18" s="180">
        <v>100</v>
      </c>
      <c r="W18" s="180">
        <v>48</v>
      </c>
      <c r="X18" s="180">
        <v>63</v>
      </c>
      <c r="AM18" s="168"/>
      <c r="BJ18" s="177">
        <v>600</v>
      </c>
      <c r="BK18" s="177">
        <v>384</v>
      </c>
      <c r="BL18" s="177">
        <v>56</v>
      </c>
      <c r="BP18" s="120" t="s">
        <v>483</v>
      </c>
      <c r="BQ18" s="177" t="s">
        <v>220</v>
      </c>
      <c r="BR18" s="177" t="s">
        <v>391</v>
      </c>
      <c r="BS18" s="177" t="s">
        <v>391</v>
      </c>
      <c r="BT18" s="177" t="s">
        <v>391</v>
      </c>
      <c r="BU18" s="177" t="s">
        <v>391</v>
      </c>
      <c r="BV18" s="177" t="s">
        <v>391</v>
      </c>
      <c r="BW18" s="177" t="s">
        <v>391</v>
      </c>
      <c r="BX18" s="177" t="s">
        <v>391</v>
      </c>
      <c r="BY18" s="177" t="s">
        <v>391</v>
      </c>
      <c r="BZ18" s="177" t="s">
        <v>391</v>
      </c>
      <c r="CA18" s="177" t="s">
        <v>391</v>
      </c>
      <c r="CB18" s="177" t="s">
        <v>391</v>
      </c>
      <c r="CC18" s="177" t="s">
        <v>391</v>
      </c>
      <c r="CD18" s="177" t="s">
        <v>391</v>
      </c>
      <c r="CE18" s="177" t="s">
        <v>391</v>
      </c>
      <c r="CF18" s="177">
        <v>2000</v>
      </c>
      <c r="CG18" s="177">
        <v>2000</v>
      </c>
      <c r="CH18" s="177">
        <v>2000</v>
      </c>
      <c r="CI18" s="177">
        <v>2000</v>
      </c>
      <c r="CJ18" s="177">
        <v>2000</v>
      </c>
      <c r="CK18" s="177">
        <v>2000</v>
      </c>
      <c r="CL18" s="177">
        <v>2000</v>
      </c>
      <c r="CN18" s="177" t="s">
        <v>486</v>
      </c>
    </row>
    <row r="19" spans="1:92">
      <c r="A19" s="169" t="s">
        <v>79</v>
      </c>
      <c r="B19" s="168"/>
      <c r="C19" s="166">
        <f>IF($G$2="4",INDEX($AN$10:$BH$18,MATCH($A19,$AM$10:$AM$18,0),MATCH($C$4,$AN$9:$BH$9,0))*1.2+H19,INDEX($AN$10:$BH$18,MATCH($A19,$AM$10:$AM$18,0),MATCH($C$4,$AN$9:$BH$9,0))*1.2*1.5+H19)</f>
        <v>443.47045987243297</v>
      </c>
      <c r="D19" s="166">
        <f>D10+5</f>
        <v>105</v>
      </c>
      <c r="E19" s="166">
        <f>E10+5</f>
        <v>25</v>
      </c>
      <c r="F19" s="166">
        <f>F9</f>
        <v>54</v>
      </c>
      <c r="G19" s="168" t="s">
        <v>20</v>
      </c>
      <c r="H19" s="169">
        <v>0</v>
      </c>
      <c r="I19" s="176"/>
      <c r="J19" s="176"/>
      <c r="K19" s="176"/>
      <c r="L19" s="176"/>
      <c r="M19" s="176"/>
      <c r="N19" s="176"/>
      <c r="O19" s="176"/>
      <c r="P19" s="176" t="s">
        <v>153</v>
      </c>
      <c r="Q19" s="176">
        <v>60</v>
      </c>
      <c r="R19" s="176">
        <v>55</v>
      </c>
      <c r="S19" s="176">
        <v>54</v>
      </c>
      <c r="U19" s="176" t="s">
        <v>153</v>
      </c>
      <c r="V19" s="177">
        <v>125</v>
      </c>
      <c r="W19" s="177">
        <v>55</v>
      </c>
      <c r="X19" s="177">
        <v>54</v>
      </c>
      <c r="AM19" s="177" t="s">
        <v>100</v>
      </c>
      <c r="AN19" s="177">
        <v>36</v>
      </c>
      <c r="AO19" s="177">
        <v>48</v>
      </c>
      <c r="AP19" s="177">
        <v>60</v>
      </c>
      <c r="AQ19" s="177">
        <v>72</v>
      </c>
      <c r="AR19" s="177">
        <v>84</v>
      </c>
      <c r="AS19" s="177">
        <v>96</v>
      </c>
      <c r="AT19" s="177">
        <v>120</v>
      </c>
      <c r="AU19" s="177">
        <v>150</v>
      </c>
      <c r="AV19" s="177">
        <v>180</v>
      </c>
      <c r="AW19" s="177">
        <v>210</v>
      </c>
      <c r="AX19" s="177">
        <v>240</v>
      </c>
      <c r="AY19" s="177">
        <v>300</v>
      </c>
      <c r="AZ19" s="177">
        <v>360</v>
      </c>
      <c r="BA19" s="177">
        <v>420</v>
      </c>
      <c r="BB19" s="177">
        <v>480</v>
      </c>
      <c r="BC19" s="177">
        <v>540</v>
      </c>
      <c r="BD19" s="177">
        <v>600</v>
      </c>
      <c r="BE19" s="177">
        <v>660</v>
      </c>
      <c r="BF19" s="177">
        <v>720</v>
      </c>
      <c r="BG19" s="177">
        <v>780</v>
      </c>
      <c r="BH19" s="177">
        <v>840</v>
      </c>
      <c r="BJ19" s="177">
        <v>660</v>
      </c>
      <c r="BK19" s="177">
        <v>488</v>
      </c>
      <c r="BL19" s="177">
        <v>80</v>
      </c>
      <c r="BQ19" s="120" t="s">
        <v>204</v>
      </c>
      <c r="BR19" s="177">
        <v>463</v>
      </c>
      <c r="BS19" s="177">
        <v>463</v>
      </c>
      <c r="BT19" s="177">
        <v>463</v>
      </c>
      <c r="BU19" s="177">
        <v>436</v>
      </c>
      <c r="BV19" s="177">
        <v>463</v>
      </c>
      <c r="BW19" s="177">
        <v>463</v>
      </c>
      <c r="BX19" s="177" t="s">
        <v>391</v>
      </c>
      <c r="BY19" s="177" t="s">
        <v>391</v>
      </c>
      <c r="BZ19" s="177" t="s">
        <v>391</v>
      </c>
      <c r="CA19" s="177" t="s">
        <v>391</v>
      </c>
      <c r="CB19" s="177" t="s">
        <v>391</v>
      </c>
      <c r="CC19" s="177" t="s">
        <v>391</v>
      </c>
      <c r="CD19" s="177" t="s">
        <v>391</v>
      </c>
      <c r="CE19" s="177" t="s">
        <v>391</v>
      </c>
      <c r="CF19" s="177" t="s">
        <v>391</v>
      </c>
      <c r="CG19" s="177" t="s">
        <v>391</v>
      </c>
      <c r="CH19" s="177" t="s">
        <v>391</v>
      </c>
      <c r="CI19" s="177" t="s">
        <v>391</v>
      </c>
      <c r="CJ19" s="177" t="s">
        <v>391</v>
      </c>
      <c r="CK19" s="177" t="s">
        <v>391</v>
      </c>
      <c r="CL19" s="177" t="s">
        <v>391</v>
      </c>
      <c r="CN19" s="177" t="s">
        <v>488</v>
      </c>
    </row>
    <row r="20" spans="1:92">
      <c r="A20" s="169" t="s">
        <v>39</v>
      </c>
      <c r="B20" s="168" t="str">
        <f>B5</f>
        <v>J0</v>
      </c>
      <c r="C20" s="166">
        <f>IF($J$4="000",INDEX($BT$46:$BV$84,MATCH($B$5,$BS$46:$BS$84,0),MATCH(C$7,$BT$45:$BV$45,0)),INDEX($BW$46:$BY$84,MATCH($B$5,$BS$46:$BS$84,0),MATCH(C$7,$BW$45:$BY$45,0)))</f>
        <v>5510</v>
      </c>
      <c r="D20" s="166">
        <f>IF($J$4="000",INDEX($Q$95:$S$103,MATCH($D$4,$P$95:$P$103,0),MATCH(D$7,$Q$94:$S$94,0)),INDEX($V$95:$X$103,MATCH($D$4,$U$95:$U$103,0),MATCH(D$7,$V$94:$X$94,0)))</f>
        <v>102</v>
      </c>
      <c r="E20" s="166">
        <f>IF($J$4="000",INDEX($Q$95:$S$103,MATCH($D$4,$P$95:$P$103,0),MATCH(E$7,$Q$94:$S$94,0)),INDEX($V$95:$X$103,MATCH($D$4,$U$95:$U$103,0),MATCH(E$7,$V$94:$X$94,0)))</f>
        <v>65</v>
      </c>
      <c r="F20" s="166">
        <f>IF($J$4="000",INDEX($Q$95:$S$103,MATCH($D$4,$P$95:$P$103,0),MATCH(F$7,$Q$94:$S$94,0)),INDEX($V$95:$X$103,MATCH($D$4,$U$95:$U$103,0),MATCH(F$7,$V$94:$X$94,0)))</f>
        <v>77</v>
      </c>
      <c r="G20" s="168" t="s">
        <v>20</v>
      </c>
      <c r="H20" s="169">
        <v>0</v>
      </c>
      <c r="I20" s="176"/>
      <c r="J20" s="176"/>
      <c r="K20" s="176"/>
      <c r="L20" s="176"/>
      <c r="M20" s="176"/>
      <c r="N20" s="176"/>
      <c r="O20" s="176"/>
      <c r="Z20" s="182" t="s">
        <v>105</v>
      </c>
      <c r="AC20" s="182" t="s">
        <v>157</v>
      </c>
      <c r="AF20" s="182" t="s">
        <v>151</v>
      </c>
      <c r="AM20" s="177" t="s">
        <v>1</v>
      </c>
      <c r="AN20" s="177">
        <v>46</v>
      </c>
      <c r="AO20" s="177">
        <v>46</v>
      </c>
      <c r="AP20" s="177">
        <v>46</v>
      </c>
      <c r="AQ20" s="177">
        <v>65</v>
      </c>
      <c r="AR20" s="177">
        <v>65</v>
      </c>
      <c r="AS20" s="177">
        <v>65</v>
      </c>
      <c r="AT20" s="177">
        <v>92</v>
      </c>
      <c r="AU20" s="177">
        <v>92</v>
      </c>
      <c r="AV20" s="177">
        <v>92</v>
      </c>
      <c r="AW20" s="177">
        <v>122</v>
      </c>
      <c r="AX20" s="177">
        <v>122</v>
      </c>
      <c r="AY20" s="177">
        <v>135</v>
      </c>
      <c r="AZ20" s="177">
        <v>176</v>
      </c>
      <c r="BA20" s="177">
        <v>176</v>
      </c>
      <c r="BB20" s="177">
        <v>294</v>
      </c>
      <c r="BC20" s="177">
        <v>294</v>
      </c>
      <c r="BD20" s="177">
        <v>294</v>
      </c>
      <c r="BE20" s="177">
        <v>294</v>
      </c>
      <c r="BF20" s="177">
        <v>467</v>
      </c>
      <c r="BG20" s="177">
        <v>467</v>
      </c>
      <c r="BH20" s="177">
        <v>526</v>
      </c>
      <c r="BJ20" s="177">
        <v>720</v>
      </c>
      <c r="BK20" s="177">
        <v>540</v>
      </c>
      <c r="BL20" s="177">
        <v>120</v>
      </c>
      <c r="BQ20" s="120" t="s">
        <v>544</v>
      </c>
      <c r="BR20" s="177" t="s">
        <v>391</v>
      </c>
      <c r="BS20" s="177" t="s">
        <v>391</v>
      </c>
      <c r="BT20" s="177" t="s">
        <v>391</v>
      </c>
      <c r="BU20" s="177" t="s">
        <v>391</v>
      </c>
      <c r="BV20" s="177">
        <v>626</v>
      </c>
      <c r="BW20" s="177">
        <v>626</v>
      </c>
      <c r="BX20" s="177">
        <v>680</v>
      </c>
      <c r="BY20" s="177">
        <v>680</v>
      </c>
      <c r="BZ20" s="177">
        <v>680</v>
      </c>
      <c r="CA20" s="177">
        <v>680</v>
      </c>
      <c r="CB20" s="177" t="s">
        <v>391</v>
      </c>
      <c r="CC20" s="177" t="s">
        <v>391</v>
      </c>
      <c r="CD20" s="177" t="s">
        <v>391</v>
      </c>
      <c r="CE20" s="177" t="s">
        <v>391</v>
      </c>
      <c r="CF20" s="177" t="s">
        <v>391</v>
      </c>
      <c r="CG20" s="177" t="s">
        <v>391</v>
      </c>
      <c r="CH20" s="177" t="s">
        <v>391</v>
      </c>
      <c r="CI20" s="177" t="s">
        <v>391</v>
      </c>
      <c r="CJ20" s="177" t="s">
        <v>391</v>
      </c>
      <c r="CK20" s="177" t="s">
        <v>391</v>
      </c>
      <c r="CL20" s="177" t="s">
        <v>391</v>
      </c>
      <c r="CN20" s="177" t="s">
        <v>490</v>
      </c>
    </row>
    <row r="21" spans="1:92">
      <c r="A21" s="169" t="s">
        <v>37</v>
      </c>
      <c r="B21" s="166" t="str">
        <f>IF($K$4="0","","ECW"&amp;VLOOKUP($K$4,$AZ$33:$BB$54,2,FALSE))</f>
        <v/>
      </c>
      <c r="C21" s="166" t="str">
        <f>IF($K$4="0","",VLOOKUP($K$4,$AZ$33:$BB$54,3,FALSE)+H21)</f>
        <v/>
      </c>
      <c r="D21" s="166">
        <f>IF($K$4="0",0,INDEX($V$47:$X$55,MATCH($D$4,$U$47:$U$55,0),MATCH(D$7,$V$46:$X$46,0)))</f>
        <v>0</v>
      </c>
      <c r="E21" s="166">
        <f t="shared" ref="E21:F21" si="2">IF($K$4="0",0,INDEX($V$47:$X$55,MATCH($D$4,$U$47:$U$55,0),MATCH(E$7,$V$46:$X$46,0)))</f>
        <v>0</v>
      </c>
      <c r="F21" s="166">
        <f t="shared" si="2"/>
        <v>0</v>
      </c>
      <c r="G21" s="168" t="s">
        <v>20</v>
      </c>
      <c r="H21" s="169">
        <v>0</v>
      </c>
      <c r="I21" s="176"/>
      <c r="J21" s="176"/>
      <c r="K21" s="176"/>
      <c r="L21" s="176"/>
      <c r="M21" s="176"/>
      <c r="N21" s="176"/>
      <c r="O21" s="176"/>
      <c r="Z21" s="183" t="s">
        <v>106</v>
      </c>
      <c r="AA21" s="177" t="s">
        <v>159</v>
      </c>
      <c r="AB21" s="177" t="s">
        <v>70</v>
      </c>
      <c r="AC21" s="183" t="s">
        <v>158</v>
      </c>
      <c r="AD21" s="177" t="s">
        <v>159</v>
      </c>
      <c r="AE21" s="177" t="s">
        <v>70</v>
      </c>
      <c r="AF21" s="183" t="s">
        <v>152</v>
      </c>
      <c r="AG21" s="177" t="s">
        <v>67</v>
      </c>
      <c r="AH21" s="177" t="s">
        <v>160</v>
      </c>
      <c r="AM21" s="177" t="s">
        <v>89</v>
      </c>
      <c r="AN21" s="177">
        <v>92</v>
      </c>
      <c r="AO21" s="177">
        <v>92</v>
      </c>
      <c r="AP21" s="177">
        <v>92</v>
      </c>
      <c r="AQ21" s="177">
        <v>122</v>
      </c>
      <c r="AR21" s="177">
        <v>122</v>
      </c>
      <c r="AS21" s="177">
        <v>122</v>
      </c>
      <c r="AT21" s="177">
        <v>135</v>
      </c>
      <c r="AU21" s="177">
        <v>135</v>
      </c>
      <c r="AV21" s="177">
        <v>176</v>
      </c>
      <c r="AW21" s="177">
        <v>176</v>
      </c>
      <c r="AX21" s="177">
        <v>176</v>
      </c>
      <c r="AY21" s="177">
        <v>294</v>
      </c>
      <c r="AZ21" s="177">
        <v>294</v>
      </c>
      <c r="BA21" s="177">
        <v>294</v>
      </c>
      <c r="BB21" s="177">
        <v>467</v>
      </c>
      <c r="BC21" s="177">
        <v>467</v>
      </c>
      <c r="BD21" s="177">
        <v>467</v>
      </c>
      <c r="BE21" s="177">
        <v>526</v>
      </c>
      <c r="BF21" s="177">
        <v>661</v>
      </c>
      <c r="BG21" s="177">
        <v>661</v>
      </c>
      <c r="BH21" s="177">
        <v>746</v>
      </c>
      <c r="BJ21" s="180">
        <v>780</v>
      </c>
      <c r="BK21" s="177">
        <v>600</v>
      </c>
      <c r="BL21" s="177">
        <v>150</v>
      </c>
      <c r="BQ21" s="120" t="s">
        <v>545</v>
      </c>
      <c r="BR21" s="177" t="s">
        <v>391</v>
      </c>
      <c r="BS21" s="177" t="s">
        <v>391</v>
      </c>
      <c r="BT21" s="177" t="s">
        <v>391</v>
      </c>
      <c r="BU21" s="177" t="s">
        <v>391</v>
      </c>
      <c r="BV21" s="177" t="s">
        <v>391</v>
      </c>
      <c r="BW21" s="177" t="s">
        <v>391</v>
      </c>
      <c r="BX21" s="177" t="s">
        <v>391</v>
      </c>
      <c r="BY21" s="177" t="s">
        <v>391</v>
      </c>
      <c r="BZ21" s="177">
        <v>1050</v>
      </c>
      <c r="CA21" s="177">
        <v>1050</v>
      </c>
      <c r="CB21" s="177">
        <v>1050</v>
      </c>
      <c r="CC21" s="177">
        <v>1050</v>
      </c>
      <c r="CD21" s="177" t="s">
        <v>391</v>
      </c>
      <c r="CE21" s="177" t="s">
        <v>391</v>
      </c>
      <c r="CF21" s="177" t="s">
        <v>391</v>
      </c>
      <c r="CG21" s="177" t="s">
        <v>391</v>
      </c>
      <c r="CH21" s="177" t="s">
        <v>391</v>
      </c>
      <c r="CI21" s="177" t="s">
        <v>391</v>
      </c>
      <c r="CJ21" s="177" t="s">
        <v>391</v>
      </c>
      <c r="CK21" s="177" t="s">
        <v>391</v>
      </c>
      <c r="CL21" s="177" t="s">
        <v>391</v>
      </c>
      <c r="CN21" s="177" t="s">
        <v>492</v>
      </c>
    </row>
    <row r="22" spans="1:92">
      <c r="A22" s="169" t="s">
        <v>93</v>
      </c>
      <c r="B22" s="168" t="str">
        <f>IF(RIGHT($J$4,1)="M","ECM",IF($J$4="000","",VLOOKUP(LEFT(J4,2),AC22:AE75,2,FALSE)&amp;" inch FAN"&amp;"; "&amp;VLOOKUP(RIGHT(J4,1),AF22:AH35,2,FALSE)&amp;"HP"))</f>
        <v/>
      </c>
      <c r="C22" s="166" t="str">
        <f>IF($J$4="000","",IF(LEFT(J4,1)="E",VLOOKUP(LEFT(J4,2),AC22:AE75,3,FALSE)+2*VLOOKUP(RIGHT(J4,1),AF22:AH35,3,FALSE),VLOOKUP(LEFT(J4,2),AC22:AE75,3,FALSE)+VLOOKUP(RIGHT(J4,1),AF22:AH35,3,FALSE)))</f>
        <v/>
      </c>
      <c r="D22" s="166" t="str">
        <f>IF($J$4="000","",INDEX($V$35:$X$43,MATCH($D$4,$U$35:$U$43,0),MATCH(D$7,$V$34:$X$34,0)))</f>
        <v/>
      </c>
      <c r="E22" s="166" t="str">
        <f>IF($J$4="000","",INDEX($V$35:$X$43,MATCH($D$4,$U$35:$U$43,0),MATCH(E$7,$V$34:$X$34,0)))</f>
        <v/>
      </c>
      <c r="F22" s="166" t="str">
        <f>IF($J$4="000","",INDEX($V$35:$X$43,MATCH($D$4,$U$35:$U$43,0),MATCH(F$7,$V$34:$X$34,0)))</f>
        <v/>
      </c>
      <c r="G22" s="168" t="s">
        <v>20</v>
      </c>
      <c r="H22" s="169">
        <v>0</v>
      </c>
      <c r="I22" s="176"/>
      <c r="J22" s="176"/>
      <c r="K22" s="176"/>
      <c r="L22" s="176"/>
      <c r="M22" s="176"/>
      <c r="N22" s="176"/>
      <c r="O22" s="176"/>
      <c r="P22" s="168" t="s">
        <v>104</v>
      </c>
      <c r="Q22" s="168" t="s">
        <v>19</v>
      </c>
      <c r="R22" s="168" t="s">
        <v>20</v>
      </c>
      <c r="S22" s="168" t="s">
        <v>21</v>
      </c>
      <c r="U22" s="180" t="s">
        <v>104</v>
      </c>
      <c r="V22" s="180" t="s">
        <v>19</v>
      </c>
      <c r="W22" s="180" t="s">
        <v>20</v>
      </c>
      <c r="X22" s="180" t="s">
        <v>21</v>
      </c>
      <c r="Z22" s="184">
        <v>0</v>
      </c>
      <c r="AA22" s="180">
        <v>0</v>
      </c>
      <c r="AB22" s="180">
        <v>0</v>
      </c>
      <c r="AC22" s="184">
        <v>0</v>
      </c>
      <c r="AD22" s="180">
        <v>0</v>
      </c>
      <c r="AE22" s="180">
        <v>0</v>
      </c>
      <c r="AF22" s="180">
        <v>0</v>
      </c>
      <c r="AG22" s="180">
        <v>0</v>
      </c>
      <c r="AH22" s="180">
        <v>0</v>
      </c>
      <c r="BJ22" s="177">
        <v>840</v>
      </c>
      <c r="BK22" s="177">
        <v>600</v>
      </c>
      <c r="BL22" s="177">
        <v>150</v>
      </c>
      <c r="BQ22" s="120" t="s">
        <v>546</v>
      </c>
      <c r="BR22" s="177" t="s">
        <v>391</v>
      </c>
      <c r="BS22" s="177" t="s">
        <v>391</v>
      </c>
      <c r="BT22" s="177" t="s">
        <v>391</v>
      </c>
      <c r="BU22" s="177" t="s">
        <v>391</v>
      </c>
      <c r="BV22" s="177" t="s">
        <v>391</v>
      </c>
      <c r="BW22" s="177" t="s">
        <v>391</v>
      </c>
      <c r="BX22" s="177" t="s">
        <v>391</v>
      </c>
      <c r="BY22" s="177" t="s">
        <v>391</v>
      </c>
      <c r="BZ22" s="177">
        <v>987</v>
      </c>
      <c r="CA22" s="177">
        <v>987</v>
      </c>
      <c r="CB22" s="177">
        <v>950</v>
      </c>
      <c r="CC22" s="177" t="s">
        <v>391</v>
      </c>
      <c r="CD22" s="177" t="s">
        <v>391</v>
      </c>
      <c r="CE22" s="177" t="s">
        <v>391</v>
      </c>
      <c r="CF22" s="177" t="s">
        <v>391</v>
      </c>
      <c r="CG22" s="177" t="s">
        <v>391</v>
      </c>
      <c r="CH22" s="177" t="s">
        <v>391</v>
      </c>
      <c r="CI22" s="177" t="s">
        <v>391</v>
      </c>
      <c r="CJ22" s="177" t="s">
        <v>391</v>
      </c>
      <c r="CK22" s="177" t="s">
        <v>391</v>
      </c>
      <c r="CL22" s="177" t="s">
        <v>391</v>
      </c>
      <c r="CN22" s="177" t="s">
        <v>494</v>
      </c>
    </row>
    <row r="23" spans="1:92">
      <c r="A23" s="169" t="s">
        <v>35</v>
      </c>
      <c r="B23" s="168"/>
      <c r="C23" s="166">
        <f>IF($C$10="","",IF(OR(LEFT($B$4,3)="PRO",RIGHT($B$4,1)="H"),INDEX($AN$10:$BH$18,MATCH($A23,$AM$10:$AM$18,0),MATCH($C$4,$AN$9:$BH$9,0)),""))</f>
        <v>23.574999999999999</v>
      </c>
      <c r="D23" s="166">
        <f>D10+5</f>
        <v>105</v>
      </c>
      <c r="E23" s="166">
        <f>E15-3</f>
        <v>17</v>
      </c>
      <c r="F23" s="166">
        <f>F15-3</f>
        <v>9</v>
      </c>
      <c r="G23" s="168" t="s">
        <v>20</v>
      </c>
      <c r="H23" s="169">
        <v>0</v>
      </c>
      <c r="I23" s="176"/>
      <c r="J23" s="176"/>
      <c r="K23" s="176"/>
      <c r="L23" s="176"/>
      <c r="M23" s="176"/>
      <c r="N23" s="176"/>
      <c r="O23" s="176"/>
      <c r="P23" s="168" t="s">
        <v>58</v>
      </c>
      <c r="Q23" s="168">
        <v>51</v>
      </c>
      <c r="R23" s="168">
        <v>38</v>
      </c>
      <c r="S23" s="168">
        <v>43</v>
      </c>
      <c r="U23" s="180" t="s">
        <v>58</v>
      </c>
      <c r="V23" s="180">
        <v>87</v>
      </c>
      <c r="W23" s="180">
        <v>38</v>
      </c>
      <c r="X23" s="180">
        <v>40</v>
      </c>
      <c r="Z23" s="180" t="s">
        <v>107</v>
      </c>
      <c r="AA23" s="180">
        <v>10</v>
      </c>
      <c r="AB23" s="180">
        <v>29.040000000000006</v>
      </c>
      <c r="AC23" s="180" t="s">
        <v>107</v>
      </c>
      <c r="AD23" s="180">
        <v>10</v>
      </c>
      <c r="AE23" s="180">
        <v>29.040000000000006</v>
      </c>
      <c r="AF23" s="180" t="s">
        <v>58</v>
      </c>
      <c r="AG23" s="180">
        <v>1</v>
      </c>
      <c r="AH23" s="168">
        <v>34</v>
      </c>
      <c r="AM23" s="177" t="s">
        <v>25</v>
      </c>
      <c r="BQ23" s="120" t="s">
        <v>547</v>
      </c>
      <c r="BR23" s="177" t="s">
        <v>391</v>
      </c>
      <c r="BS23" s="177" t="s">
        <v>391</v>
      </c>
      <c r="BT23" s="177" t="s">
        <v>391</v>
      </c>
      <c r="BU23" s="177" t="s">
        <v>391</v>
      </c>
      <c r="BV23" s="177">
        <v>626</v>
      </c>
      <c r="BW23" s="177">
        <v>626</v>
      </c>
      <c r="BX23" s="177">
        <v>700</v>
      </c>
      <c r="BY23" s="177">
        <v>700</v>
      </c>
      <c r="BZ23" s="177">
        <v>700</v>
      </c>
      <c r="CA23" s="177">
        <v>700</v>
      </c>
      <c r="CB23" s="177">
        <v>838</v>
      </c>
      <c r="CC23" s="177" t="s">
        <v>391</v>
      </c>
      <c r="CD23" s="177" t="s">
        <v>391</v>
      </c>
      <c r="CE23" s="177" t="s">
        <v>391</v>
      </c>
      <c r="CF23" s="177" t="s">
        <v>391</v>
      </c>
      <c r="CG23" s="177" t="s">
        <v>391</v>
      </c>
      <c r="CH23" s="177" t="s">
        <v>391</v>
      </c>
      <c r="CI23" s="177" t="s">
        <v>391</v>
      </c>
      <c r="CJ23" s="177" t="s">
        <v>391</v>
      </c>
      <c r="CK23" s="177" t="s">
        <v>391</v>
      </c>
      <c r="CL23" s="177" t="s">
        <v>391</v>
      </c>
      <c r="CN23" s="177" t="s">
        <v>496</v>
      </c>
    </row>
    <row r="24" spans="1:92">
      <c r="A24" s="169" t="s">
        <v>36</v>
      </c>
      <c r="B24" s="168"/>
      <c r="C24" s="166">
        <f>IF($C$4&gt;96,C23,"")</f>
        <v>23.574999999999999</v>
      </c>
      <c r="D24" s="166">
        <f>IF(C24="","-",D23+5)</f>
        <v>110</v>
      </c>
      <c r="E24" s="166">
        <f>IF(C24="","-",E20+5)</f>
        <v>70</v>
      </c>
      <c r="F24" s="166">
        <f>IF(C24="","-",F20+5)</f>
        <v>82</v>
      </c>
      <c r="G24" s="168" t="s">
        <v>20</v>
      </c>
      <c r="H24" s="169">
        <v>0</v>
      </c>
      <c r="I24" s="176"/>
      <c r="J24" s="176"/>
      <c r="K24" s="176"/>
      <c r="L24" s="176"/>
      <c r="M24" s="176"/>
      <c r="N24" s="176"/>
      <c r="O24" s="176"/>
      <c r="P24" s="168" t="s">
        <v>85</v>
      </c>
      <c r="Q24" s="168">
        <v>53</v>
      </c>
      <c r="R24" s="168">
        <v>38</v>
      </c>
      <c r="S24" s="168">
        <v>43</v>
      </c>
      <c r="U24" s="180" t="s">
        <v>85</v>
      </c>
      <c r="V24" s="180">
        <v>95</v>
      </c>
      <c r="W24" s="180">
        <v>38</v>
      </c>
      <c r="X24" s="180">
        <v>43</v>
      </c>
      <c r="Z24" s="180" t="s">
        <v>108</v>
      </c>
      <c r="AA24" s="180">
        <v>11</v>
      </c>
      <c r="AB24" s="180">
        <v>29.040000000000006</v>
      </c>
      <c r="AC24" s="180" t="s">
        <v>108</v>
      </c>
      <c r="AD24" s="180">
        <v>11</v>
      </c>
      <c r="AE24" s="180">
        <v>29.040000000000006</v>
      </c>
      <c r="AF24" s="180" t="s">
        <v>85</v>
      </c>
      <c r="AG24" s="180">
        <v>1.5</v>
      </c>
      <c r="AH24" s="168">
        <v>37.5</v>
      </c>
      <c r="AM24" s="177" t="s">
        <v>1</v>
      </c>
      <c r="AN24" s="177">
        <v>59</v>
      </c>
      <c r="AO24" s="177">
        <v>59</v>
      </c>
      <c r="AP24" s="177">
        <v>59</v>
      </c>
      <c r="AQ24" s="177">
        <v>86</v>
      </c>
      <c r="AR24" s="177">
        <v>86</v>
      </c>
      <c r="AS24" s="177">
        <v>86</v>
      </c>
      <c r="AT24" s="177">
        <v>124</v>
      </c>
      <c r="AU24" s="177">
        <v>124</v>
      </c>
      <c r="AV24" s="177">
        <v>124</v>
      </c>
      <c r="AW24" s="177">
        <v>165</v>
      </c>
      <c r="AX24" s="177">
        <v>165</v>
      </c>
      <c r="AY24" s="177">
        <v>182</v>
      </c>
      <c r="AZ24" s="177">
        <v>240</v>
      </c>
      <c r="BA24" s="177">
        <v>240</v>
      </c>
      <c r="BB24" s="177">
        <v>408</v>
      </c>
      <c r="BC24" s="177">
        <v>408</v>
      </c>
      <c r="BD24" s="177">
        <v>408</v>
      </c>
      <c r="BE24" s="177">
        <v>408</v>
      </c>
      <c r="BF24" s="177">
        <v>661</v>
      </c>
      <c r="BG24" s="177">
        <v>661</v>
      </c>
      <c r="BH24" s="177">
        <v>746</v>
      </c>
      <c r="BQ24" s="120" t="s">
        <v>548</v>
      </c>
      <c r="BR24" s="177" t="s">
        <v>391</v>
      </c>
      <c r="BS24" s="177" t="s">
        <v>391</v>
      </c>
      <c r="BT24" s="177" t="s">
        <v>391</v>
      </c>
      <c r="BU24" s="177" t="s">
        <v>391</v>
      </c>
      <c r="BV24" s="177" t="s">
        <v>391</v>
      </c>
      <c r="BW24" s="177" t="s">
        <v>391</v>
      </c>
      <c r="BX24" s="177" t="s">
        <v>391</v>
      </c>
      <c r="BY24" s="177" t="s">
        <v>391</v>
      </c>
      <c r="BZ24" s="177">
        <v>1050</v>
      </c>
      <c r="CA24" s="177">
        <v>1050</v>
      </c>
      <c r="CB24" s="177">
        <v>1050</v>
      </c>
      <c r="CC24" s="177">
        <v>1050</v>
      </c>
      <c r="CD24" s="177" t="s">
        <v>391</v>
      </c>
      <c r="CE24" s="177" t="s">
        <v>391</v>
      </c>
      <c r="CF24" s="177" t="s">
        <v>391</v>
      </c>
      <c r="CG24" s="177" t="s">
        <v>391</v>
      </c>
      <c r="CH24" s="177" t="s">
        <v>391</v>
      </c>
      <c r="CI24" s="177" t="s">
        <v>391</v>
      </c>
      <c r="CJ24" s="177" t="s">
        <v>391</v>
      </c>
      <c r="CK24" s="177" t="s">
        <v>391</v>
      </c>
      <c r="CL24" s="177" t="s">
        <v>391</v>
      </c>
      <c r="CN24" s="177" t="s">
        <v>498</v>
      </c>
    </row>
    <row r="25" spans="1:92">
      <c r="A25" s="169"/>
      <c r="B25" s="168"/>
      <c r="C25" s="166"/>
      <c r="D25" s="166"/>
      <c r="E25" s="166"/>
      <c r="F25" s="166"/>
      <c r="G25" s="168" t="s">
        <v>81</v>
      </c>
      <c r="H25" s="169">
        <v>0</v>
      </c>
      <c r="I25" s="176"/>
      <c r="J25" s="176"/>
      <c r="K25" s="176"/>
      <c r="L25" s="176"/>
      <c r="M25" s="176"/>
      <c r="N25" s="176"/>
      <c r="O25" s="176"/>
      <c r="P25" s="168" t="s">
        <v>56</v>
      </c>
      <c r="Q25" s="168">
        <v>65</v>
      </c>
      <c r="R25" s="168">
        <v>38</v>
      </c>
      <c r="S25" s="168">
        <v>43</v>
      </c>
      <c r="U25" s="180" t="s">
        <v>56</v>
      </c>
      <c r="V25" s="180">
        <v>110</v>
      </c>
      <c r="W25" s="180">
        <v>38</v>
      </c>
      <c r="X25" s="180">
        <v>43</v>
      </c>
      <c r="Z25" s="180" t="s">
        <v>109</v>
      </c>
      <c r="AA25" s="180">
        <v>12</v>
      </c>
      <c r="AB25" s="180">
        <v>29.040000000000006</v>
      </c>
      <c r="AC25" s="180" t="s">
        <v>109</v>
      </c>
      <c r="AD25" s="180">
        <v>12</v>
      </c>
      <c r="AE25" s="180">
        <v>29.040000000000006</v>
      </c>
      <c r="AF25" s="180" t="s">
        <v>56</v>
      </c>
      <c r="AG25" s="180">
        <v>2</v>
      </c>
      <c r="AH25" s="168">
        <v>40</v>
      </c>
      <c r="AM25" s="177" t="s">
        <v>89</v>
      </c>
      <c r="AN25" s="177">
        <v>124</v>
      </c>
      <c r="AO25" s="177">
        <v>124</v>
      </c>
      <c r="AP25" s="177">
        <v>124</v>
      </c>
      <c r="AQ25" s="177">
        <v>165</v>
      </c>
      <c r="AR25" s="177">
        <v>165</v>
      </c>
      <c r="AS25" s="177">
        <v>165</v>
      </c>
      <c r="AT25" s="177">
        <v>182</v>
      </c>
      <c r="AU25" s="177">
        <v>182</v>
      </c>
      <c r="AV25" s="177">
        <v>240</v>
      </c>
      <c r="AW25" s="177">
        <v>240</v>
      </c>
      <c r="AX25" s="177">
        <v>240</v>
      </c>
      <c r="AY25" s="177">
        <v>408</v>
      </c>
      <c r="AZ25" s="177">
        <v>408</v>
      </c>
      <c r="BA25" s="177">
        <v>408</v>
      </c>
      <c r="BB25" s="177">
        <v>484</v>
      </c>
      <c r="BC25" s="177">
        <v>661</v>
      </c>
      <c r="BD25" s="177">
        <v>661</v>
      </c>
      <c r="BE25" s="177">
        <v>746</v>
      </c>
      <c r="BF25" s="177">
        <v>661</v>
      </c>
      <c r="BG25" s="177">
        <v>661</v>
      </c>
      <c r="BH25" s="177">
        <v>746</v>
      </c>
      <c r="BQ25" s="120" t="s">
        <v>549</v>
      </c>
      <c r="BR25" s="177" t="s">
        <v>391</v>
      </c>
      <c r="BS25" s="177" t="s">
        <v>391</v>
      </c>
      <c r="BT25" s="177" t="s">
        <v>391</v>
      </c>
      <c r="BU25" s="177" t="s">
        <v>391</v>
      </c>
      <c r="BV25" s="177" t="s">
        <v>391</v>
      </c>
      <c r="BW25" s="177" t="s">
        <v>391</v>
      </c>
      <c r="BX25" s="177" t="s">
        <v>391</v>
      </c>
      <c r="BY25" s="177" t="s">
        <v>391</v>
      </c>
      <c r="BZ25" s="177">
        <v>1114</v>
      </c>
      <c r="CA25" s="177">
        <v>1114</v>
      </c>
      <c r="CB25" s="177">
        <v>1114</v>
      </c>
      <c r="CC25" s="177">
        <v>1114</v>
      </c>
      <c r="CD25" s="177">
        <v>1114</v>
      </c>
      <c r="CE25" s="177">
        <v>1114</v>
      </c>
      <c r="CF25" s="177" t="s">
        <v>391</v>
      </c>
      <c r="CG25" s="177" t="s">
        <v>391</v>
      </c>
      <c r="CH25" s="177" t="s">
        <v>391</v>
      </c>
      <c r="CI25" s="177" t="s">
        <v>391</v>
      </c>
      <c r="CJ25" s="177" t="s">
        <v>391</v>
      </c>
      <c r="CK25" s="177" t="s">
        <v>391</v>
      </c>
      <c r="CL25" s="177" t="s">
        <v>391</v>
      </c>
      <c r="CN25" s="177" t="s">
        <v>500</v>
      </c>
    </row>
    <row r="26" spans="1:92">
      <c r="A26" s="169" t="s">
        <v>100</v>
      </c>
      <c r="B26" s="168" t="str">
        <f>IF($G$4="","",IF($G$4="C","4-Row CWC","6-Row CWC"))</f>
        <v/>
      </c>
      <c r="C26" s="166" t="str">
        <f>IF($G$4="","",IF($K$4="0",IF(G4="C",IF(G26="y",INDEX(AN20:BH21,MATCH(LEFT(B4,3),AM20:AM21,0),MATCH(C4,AN19:BH19,0))+H26,""),IF(G26="y",INDEX(AN24:BH25,MATCH(LEFT(B4,3),AM24:AM25,0),MATCH(C4,AN19:BH19,0))+H26,"")),IF(G4="C",IF(G26="y",HLOOKUP(C4,$AN$19:$BH$25,3,FALSE)+H26,""),IF(G26="y",HLOOKUP(C4,$AN$19:$BH$25,7,FALSE)+H26,""))))</f>
        <v/>
      </c>
      <c r="D26" s="166">
        <f>D8</f>
        <v>60</v>
      </c>
      <c r="E26" s="166">
        <f>E8</f>
        <v>55</v>
      </c>
      <c r="F26" s="166">
        <f>F8</f>
        <v>54</v>
      </c>
      <c r="G26" s="168" t="s">
        <v>20</v>
      </c>
      <c r="H26" s="169">
        <v>0</v>
      </c>
      <c r="I26" s="176"/>
      <c r="J26" s="176"/>
      <c r="K26" s="176"/>
      <c r="L26" s="176"/>
      <c r="M26" s="176"/>
      <c r="N26" s="176"/>
      <c r="O26" s="176"/>
      <c r="P26" s="168" t="s">
        <v>86</v>
      </c>
      <c r="Q26" s="168">
        <v>101</v>
      </c>
      <c r="R26" s="168">
        <v>48</v>
      </c>
      <c r="S26" s="168">
        <v>46</v>
      </c>
      <c r="U26" s="180" t="s">
        <v>86</v>
      </c>
      <c r="V26" s="180">
        <v>171</v>
      </c>
      <c r="W26" s="180">
        <v>48</v>
      </c>
      <c r="X26" s="180">
        <v>46</v>
      </c>
      <c r="Z26" s="180" t="s">
        <v>110</v>
      </c>
      <c r="AA26" s="180">
        <v>14</v>
      </c>
      <c r="AB26" s="180">
        <v>43.56</v>
      </c>
      <c r="AC26" s="180" t="s">
        <v>110</v>
      </c>
      <c r="AD26" s="180">
        <v>14</v>
      </c>
      <c r="AE26" s="180">
        <v>43.56</v>
      </c>
      <c r="AF26" s="180" t="s">
        <v>86</v>
      </c>
      <c r="AG26" s="180">
        <v>3</v>
      </c>
      <c r="AH26" s="168">
        <v>69</v>
      </c>
      <c r="BQ26" s="120" t="s">
        <v>550</v>
      </c>
      <c r="BR26" s="177" t="s">
        <v>391</v>
      </c>
      <c r="BS26" s="177" t="s">
        <v>391</v>
      </c>
      <c r="BT26" s="177" t="s">
        <v>391</v>
      </c>
      <c r="BU26" s="177" t="s">
        <v>391</v>
      </c>
      <c r="BV26" s="177" t="s">
        <v>391</v>
      </c>
      <c r="BW26" s="177" t="s">
        <v>391</v>
      </c>
      <c r="BX26" s="177" t="s">
        <v>391</v>
      </c>
      <c r="BY26" s="177" t="s">
        <v>391</v>
      </c>
      <c r="BZ26" s="177" t="s">
        <v>391</v>
      </c>
      <c r="CA26" s="177" t="s">
        <v>391</v>
      </c>
      <c r="CB26" s="177" t="s">
        <v>391</v>
      </c>
      <c r="CC26" s="177">
        <v>1316</v>
      </c>
      <c r="CD26" s="177">
        <v>1316</v>
      </c>
      <c r="CE26" s="177">
        <v>1316</v>
      </c>
      <c r="CF26" s="177" t="s">
        <v>391</v>
      </c>
      <c r="CG26" s="177" t="s">
        <v>391</v>
      </c>
      <c r="CH26" s="177" t="s">
        <v>391</v>
      </c>
      <c r="CI26" s="177" t="s">
        <v>391</v>
      </c>
      <c r="CJ26" s="177" t="s">
        <v>391</v>
      </c>
      <c r="CK26" s="177" t="s">
        <v>391</v>
      </c>
      <c r="CL26" s="177" t="s">
        <v>391</v>
      </c>
      <c r="CN26" s="177" t="s">
        <v>502</v>
      </c>
    </row>
    <row r="27" spans="1:92">
      <c r="A27" s="169" t="s">
        <v>92</v>
      </c>
      <c r="B27" s="168" t="str">
        <f>IF($C$27="","","2-ROW HWC")</f>
        <v/>
      </c>
      <c r="C27" s="166" t="str">
        <f>IF($D$5="F",IF($K$4="0",IF($G$27="y",INDEX($AN$28:$BH$29,MATCH(LEFT(B4,3),$AM$28:$AM$29,0),MATCH($C$4,$AN$27:$BH$27,0)+$H$27),""),HLOOKUP($C$4,$AN$27:$BE$29,3)),"")</f>
        <v/>
      </c>
      <c r="D27" s="166">
        <f>D8-5</f>
        <v>55</v>
      </c>
      <c r="E27" s="166">
        <f>E8</f>
        <v>55</v>
      </c>
      <c r="F27" s="166">
        <f>F8</f>
        <v>54</v>
      </c>
      <c r="G27" s="168" t="s">
        <v>20</v>
      </c>
      <c r="H27" s="169">
        <v>0</v>
      </c>
      <c r="I27" s="176"/>
      <c r="J27" s="176"/>
      <c r="K27" s="176"/>
      <c r="L27" s="176"/>
      <c r="M27" s="176"/>
      <c r="N27" s="176"/>
      <c r="O27" s="176"/>
      <c r="P27" s="168" t="s">
        <v>103</v>
      </c>
      <c r="Q27" s="176">
        <v>100</v>
      </c>
      <c r="R27" s="176">
        <v>54</v>
      </c>
      <c r="S27" s="176">
        <v>54</v>
      </c>
      <c r="U27" s="180" t="s">
        <v>103</v>
      </c>
      <c r="V27" s="177">
        <v>244</v>
      </c>
      <c r="W27" s="177">
        <v>54</v>
      </c>
      <c r="X27" s="177">
        <v>54</v>
      </c>
      <c r="Z27" s="180" t="s">
        <v>111</v>
      </c>
      <c r="AA27" s="180">
        <v>16</v>
      </c>
      <c r="AB27" s="180">
        <v>53.240000000000009</v>
      </c>
      <c r="AC27" s="180" t="s">
        <v>111</v>
      </c>
      <c r="AD27" s="180">
        <v>16</v>
      </c>
      <c r="AE27" s="180">
        <v>53.240000000000009</v>
      </c>
      <c r="AF27" s="180" t="s">
        <v>103</v>
      </c>
      <c r="AG27" s="180">
        <v>5</v>
      </c>
      <c r="AH27" s="168">
        <v>84</v>
      </c>
      <c r="AM27" s="177" t="s">
        <v>92</v>
      </c>
      <c r="AN27" s="177">
        <v>36</v>
      </c>
      <c r="AO27" s="177">
        <v>48</v>
      </c>
      <c r="AP27" s="177">
        <v>60</v>
      </c>
      <c r="AQ27" s="177">
        <v>72</v>
      </c>
      <c r="AR27" s="177">
        <v>84</v>
      </c>
      <c r="AS27" s="177">
        <v>96</v>
      </c>
      <c r="AT27" s="177">
        <v>120</v>
      </c>
      <c r="AU27" s="177">
        <v>150</v>
      </c>
      <c r="AV27" s="177">
        <v>180</v>
      </c>
      <c r="AW27" s="177">
        <v>210</v>
      </c>
      <c r="AX27" s="177">
        <v>240</v>
      </c>
      <c r="AY27" s="177">
        <v>300</v>
      </c>
      <c r="AZ27" s="177">
        <v>360</v>
      </c>
      <c r="BA27" s="177">
        <v>420</v>
      </c>
      <c r="BB27" s="177">
        <v>480</v>
      </c>
      <c r="BC27" s="177">
        <v>540</v>
      </c>
      <c r="BD27" s="177">
        <v>600</v>
      </c>
      <c r="BE27" s="177">
        <v>660</v>
      </c>
      <c r="BF27" s="177">
        <v>720</v>
      </c>
      <c r="BG27" s="177">
        <v>780</v>
      </c>
      <c r="BH27" s="177">
        <v>840</v>
      </c>
      <c r="BQ27" s="120" t="s">
        <v>551</v>
      </c>
      <c r="BR27" s="177" t="s">
        <v>391</v>
      </c>
      <c r="BS27" s="177" t="s">
        <v>391</v>
      </c>
      <c r="BT27" s="177" t="s">
        <v>391</v>
      </c>
      <c r="BU27" s="177" t="s">
        <v>391</v>
      </c>
      <c r="BV27" s="177" t="s">
        <v>391</v>
      </c>
      <c r="BW27" s="177" t="s">
        <v>391</v>
      </c>
      <c r="BX27" s="177" t="s">
        <v>391</v>
      </c>
      <c r="BY27" s="177" t="s">
        <v>391</v>
      </c>
      <c r="BZ27" s="177" t="s">
        <v>391</v>
      </c>
      <c r="CA27" s="177" t="s">
        <v>391</v>
      </c>
      <c r="CB27" s="177">
        <v>1114</v>
      </c>
      <c r="CC27" s="177">
        <v>1114</v>
      </c>
      <c r="CD27" s="177">
        <v>1114</v>
      </c>
      <c r="CE27" s="177">
        <v>1114</v>
      </c>
      <c r="CF27" s="177">
        <v>1316</v>
      </c>
      <c r="CG27" s="177" t="s">
        <v>391</v>
      </c>
      <c r="CH27" s="177" t="s">
        <v>391</v>
      </c>
      <c r="CI27" s="177" t="s">
        <v>391</v>
      </c>
      <c r="CJ27" s="177" t="s">
        <v>391</v>
      </c>
      <c r="CK27" s="177" t="s">
        <v>391</v>
      </c>
      <c r="CL27" s="177" t="s">
        <v>391</v>
      </c>
      <c r="CN27" s="177" t="s">
        <v>504</v>
      </c>
    </row>
    <row r="28" spans="1:92">
      <c r="A28" s="169" t="s">
        <v>22</v>
      </c>
      <c r="B28" s="168"/>
      <c r="C28" s="166">
        <f>IF($F$4="","",IF(OR(RIGHT($B$4,1)="W",RIGHT($B$4,1)="H"),INDEX($AN$10:$BH$18,MATCH($A28,$AM$10:$AM$18,0),MATCH($C$4,$AN$9:$BH$9,0)),""))</f>
        <v>62.099999999999994</v>
      </c>
      <c r="D28" s="166">
        <f>D14+5</f>
        <v>110</v>
      </c>
      <c r="E28" s="166">
        <f>E14</f>
        <v>20</v>
      </c>
      <c r="F28" s="166">
        <f>F14</f>
        <v>32</v>
      </c>
      <c r="G28" s="168" t="s">
        <v>20</v>
      </c>
      <c r="H28" s="169">
        <v>0</v>
      </c>
      <c r="I28" s="176"/>
      <c r="J28" s="176"/>
      <c r="K28" s="176"/>
      <c r="L28" s="176"/>
      <c r="M28" s="176"/>
      <c r="N28" s="176"/>
      <c r="O28" s="176"/>
      <c r="P28" s="176" t="s">
        <v>61</v>
      </c>
      <c r="Q28" s="168">
        <v>53</v>
      </c>
      <c r="R28" s="168">
        <v>38</v>
      </c>
      <c r="S28" s="168">
        <v>43</v>
      </c>
      <c r="U28" s="176" t="s">
        <v>61</v>
      </c>
      <c r="V28" s="180">
        <v>95</v>
      </c>
      <c r="W28" s="180">
        <v>38</v>
      </c>
      <c r="X28" s="180">
        <v>43</v>
      </c>
      <c r="Z28" s="180" t="s">
        <v>112</v>
      </c>
      <c r="AA28" s="180">
        <v>18</v>
      </c>
      <c r="AB28" s="180">
        <v>62.920000000000009</v>
      </c>
      <c r="AC28" s="180" t="s">
        <v>112</v>
      </c>
      <c r="AD28" s="180">
        <v>18</v>
      </c>
      <c r="AE28" s="180">
        <v>62.920000000000009</v>
      </c>
      <c r="AF28" s="180" t="s">
        <v>61</v>
      </c>
      <c r="AG28" s="180">
        <v>7.5</v>
      </c>
      <c r="AH28" s="168">
        <v>115</v>
      </c>
      <c r="AM28" s="177" t="s">
        <v>1</v>
      </c>
      <c r="AN28" s="177">
        <v>32</v>
      </c>
      <c r="AO28" s="177">
        <v>32</v>
      </c>
      <c r="AP28" s="177">
        <v>32</v>
      </c>
      <c r="AQ28" s="177">
        <v>43</v>
      </c>
      <c r="AR28" s="177">
        <v>43</v>
      </c>
      <c r="AS28" s="177">
        <v>43</v>
      </c>
      <c r="AT28" s="177">
        <v>59</v>
      </c>
      <c r="AU28" s="177">
        <v>59</v>
      </c>
      <c r="AV28" s="177">
        <v>59</v>
      </c>
      <c r="AW28" s="177">
        <v>76</v>
      </c>
      <c r="AX28" s="177">
        <v>76</v>
      </c>
      <c r="AY28" s="177">
        <v>84</v>
      </c>
      <c r="AZ28" s="177">
        <v>108</v>
      </c>
      <c r="BA28" s="177">
        <v>108</v>
      </c>
      <c r="BB28" s="177">
        <v>170</v>
      </c>
      <c r="BC28" s="177">
        <v>170</v>
      </c>
      <c r="BD28" s="177">
        <v>170</v>
      </c>
      <c r="BE28" s="177">
        <v>170</v>
      </c>
      <c r="BF28" s="177">
        <v>255</v>
      </c>
      <c r="BG28" s="177">
        <v>255</v>
      </c>
      <c r="BH28" s="177">
        <v>286</v>
      </c>
      <c r="BQ28" s="120" t="s">
        <v>552</v>
      </c>
      <c r="BR28" s="177" t="s">
        <v>391</v>
      </c>
      <c r="BS28" s="177" t="s">
        <v>391</v>
      </c>
      <c r="BT28" s="177" t="s">
        <v>391</v>
      </c>
      <c r="BU28" s="177" t="s">
        <v>391</v>
      </c>
      <c r="BV28" s="177" t="s">
        <v>391</v>
      </c>
      <c r="BW28" s="177" t="s">
        <v>391</v>
      </c>
      <c r="BX28" s="177" t="s">
        <v>391</v>
      </c>
      <c r="BY28" s="177" t="s">
        <v>391</v>
      </c>
      <c r="BZ28" s="177" t="s">
        <v>391</v>
      </c>
      <c r="CA28" s="177" t="s">
        <v>391</v>
      </c>
      <c r="CB28" s="177" t="s">
        <v>391</v>
      </c>
      <c r="CC28" s="177">
        <v>1316</v>
      </c>
      <c r="CD28" s="177">
        <v>1316</v>
      </c>
      <c r="CE28" s="177">
        <v>1316</v>
      </c>
      <c r="CF28" s="177">
        <v>1472</v>
      </c>
      <c r="CG28" s="177">
        <v>1472</v>
      </c>
      <c r="CH28" s="177">
        <v>1472</v>
      </c>
      <c r="CI28" s="177">
        <v>1472</v>
      </c>
      <c r="CJ28" s="177" t="s">
        <v>391</v>
      </c>
      <c r="CK28" s="177" t="s">
        <v>391</v>
      </c>
      <c r="CL28" s="177" t="s">
        <v>391</v>
      </c>
      <c r="CN28" s="177" t="s">
        <v>506</v>
      </c>
    </row>
    <row r="29" spans="1:92">
      <c r="A29" s="169" t="s">
        <v>189</v>
      </c>
      <c r="B29" s="168" t="str">
        <f>IF(C29="","",VLOOKUP($H$4,$E$65:$F$85,2,FALSE))</f>
        <v xml:space="preserve"> RHSC</v>
      </c>
      <c r="C29" s="166">
        <f>IF($H$4="00","",IF($C$8="","",IF(G29="y",IF(OR($H$4="am",$H$4="cc",$H$4="ch",$H$4="dc",$H$4="dh",$H$4="cd"),C8/2,C8/4)+H29,"NA")))</f>
        <v>400</v>
      </c>
      <c r="D29" s="166">
        <f>D8+15</f>
        <v>75</v>
      </c>
      <c r="E29" s="166">
        <f>E8</f>
        <v>55</v>
      </c>
      <c r="F29" s="166">
        <f>F8</f>
        <v>54</v>
      </c>
      <c r="G29" s="168" t="s">
        <v>20</v>
      </c>
      <c r="H29" s="169">
        <v>0</v>
      </c>
      <c r="I29" s="176"/>
      <c r="J29" s="176"/>
      <c r="K29" s="176"/>
      <c r="L29" s="176"/>
      <c r="M29" s="176"/>
      <c r="N29" s="176"/>
      <c r="O29" s="176"/>
      <c r="P29" s="176" t="s">
        <v>66</v>
      </c>
      <c r="Q29" s="168">
        <v>65</v>
      </c>
      <c r="R29" s="168">
        <v>38</v>
      </c>
      <c r="S29" s="168">
        <v>43</v>
      </c>
      <c r="U29" s="176" t="s">
        <v>66</v>
      </c>
      <c r="V29" s="180">
        <v>110</v>
      </c>
      <c r="W29" s="180">
        <v>38</v>
      </c>
      <c r="X29" s="180">
        <v>43</v>
      </c>
      <c r="Z29" s="180" t="s">
        <v>113</v>
      </c>
      <c r="AA29" s="180">
        <v>20</v>
      </c>
      <c r="AB29" s="180">
        <v>82.280000000000015</v>
      </c>
      <c r="AC29" s="180" t="s">
        <v>113</v>
      </c>
      <c r="AD29" s="180">
        <v>20</v>
      </c>
      <c r="AE29" s="180">
        <v>82.280000000000015</v>
      </c>
      <c r="AF29" s="180" t="s">
        <v>66</v>
      </c>
      <c r="AG29" s="180">
        <v>10</v>
      </c>
      <c r="AH29" s="168">
        <v>128</v>
      </c>
      <c r="AM29" s="177" t="s">
        <v>89</v>
      </c>
      <c r="AN29" s="177">
        <v>59</v>
      </c>
      <c r="AO29" s="177">
        <v>59</v>
      </c>
      <c r="AP29" s="177">
        <v>59</v>
      </c>
      <c r="AQ29" s="177">
        <v>76</v>
      </c>
      <c r="AR29" s="177">
        <v>76</v>
      </c>
      <c r="AS29" s="177">
        <v>76</v>
      </c>
      <c r="AT29" s="177">
        <v>84</v>
      </c>
      <c r="AU29" s="177">
        <v>84</v>
      </c>
      <c r="AV29" s="177">
        <v>108</v>
      </c>
      <c r="AW29" s="177">
        <v>108</v>
      </c>
      <c r="AX29" s="177">
        <v>108</v>
      </c>
      <c r="AY29" s="177">
        <v>170</v>
      </c>
      <c r="AZ29" s="177">
        <v>170</v>
      </c>
      <c r="BA29" s="177">
        <v>170</v>
      </c>
      <c r="BB29" s="177">
        <v>212</v>
      </c>
      <c r="BC29" s="177">
        <v>255</v>
      </c>
      <c r="BD29" s="177">
        <v>255</v>
      </c>
      <c r="BE29" s="177">
        <v>286</v>
      </c>
      <c r="BF29" s="177">
        <v>661</v>
      </c>
      <c r="BG29" s="177">
        <v>661</v>
      </c>
      <c r="BH29" s="177">
        <v>746</v>
      </c>
      <c r="BJ29" s="181" t="s">
        <v>216</v>
      </c>
      <c r="BN29" s="181"/>
      <c r="BQ29" s="120" t="s">
        <v>553</v>
      </c>
      <c r="BR29" s="177" t="s">
        <v>391</v>
      </c>
      <c r="BS29" s="177" t="s">
        <v>391</v>
      </c>
      <c r="BT29" s="177" t="s">
        <v>391</v>
      </c>
      <c r="BU29" s="177" t="s">
        <v>391</v>
      </c>
      <c r="BV29" s="177" t="s">
        <v>391</v>
      </c>
      <c r="BW29" s="177" t="s">
        <v>391</v>
      </c>
      <c r="BX29" s="177" t="s">
        <v>391</v>
      </c>
      <c r="BY29" s="177" t="s">
        <v>391</v>
      </c>
      <c r="BZ29" s="177" t="s">
        <v>391</v>
      </c>
      <c r="CA29" s="177" t="s">
        <v>391</v>
      </c>
      <c r="CB29" s="177" t="s">
        <v>391</v>
      </c>
      <c r="CC29" s="177" t="s">
        <v>391</v>
      </c>
      <c r="CD29" s="177" t="s">
        <v>391</v>
      </c>
      <c r="CE29" s="177" t="s">
        <v>391</v>
      </c>
      <c r="CF29" s="177">
        <v>1754</v>
      </c>
      <c r="CG29" s="177">
        <v>1754</v>
      </c>
      <c r="CH29" s="177">
        <v>1754</v>
      </c>
      <c r="CI29" s="177">
        <v>1754</v>
      </c>
      <c r="CJ29" s="177" t="s">
        <v>391</v>
      </c>
      <c r="CK29" s="177" t="s">
        <v>391</v>
      </c>
      <c r="CL29" s="177" t="s">
        <v>391</v>
      </c>
      <c r="CN29" s="177" t="s">
        <v>508</v>
      </c>
    </row>
    <row r="30" spans="1:92">
      <c r="A30" s="169"/>
      <c r="B30" s="168"/>
      <c r="C30" s="166"/>
      <c r="D30" s="166"/>
      <c r="E30" s="166"/>
      <c r="F30" s="166"/>
      <c r="G30" s="168" t="s">
        <v>20</v>
      </c>
      <c r="H30" s="169">
        <v>0</v>
      </c>
      <c r="I30" s="176"/>
      <c r="J30" s="176"/>
      <c r="K30" s="176"/>
      <c r="L30" s="176"/>
      <c r="M30" s="176"/>
      <c r="N30" s="176"/>
      <c r="O30" s="176"/>
      <c r="P30" s="176" t="s">
        <v>60</v>
      </c>
      <c r="Q30" s="168">
        <v>101</v>
      </c>
      <c r="R30" s="168">
        <v>48</v>
      </c>
      <c r="S30" s="168">
        <v>46</v>
      </c>
      <c r="U30" s="176" t="s">
        <v>60</v>
      </c>
      <c r="V30" s="180">
        <v>171</v>
      </c>
      <c r="W30" s="180">
        <v>48</v>
      </c>
      <c r="X30" s="180">
        <v>46</v>
      </c>
      <c r="Z30" s="180" t="s">
        <v>114</v>
      </c>
      <c r="AA30" s="180">
        <v>22</v>
      </c>
      <c r="AB30" s="180">
        <v>106.48000000000002</v>
      </c>
      <c r="AC30" s="180" t="s">
        <v>114</v>
      </c>
      <c r="AD30" s="180">
        <v>22</v>
      </c>
      <c r="AE30" s="180">
        <v>106.48000000000002</v>
      </c>
      <c r="AF30" s="180" t="s">
        <v>60</v>
      </c>
      <c r="AG30" s="180">
        <v>15</v>
      </c>
      <c r="AH30" s="168">
        <v>211</v>
      </c>
      <c r="BJ30" s="180" t="s">
        <v>58</v>
      </c>
      <c r="BK30" s="177">
        <v>135</v>
      </c>
      <c r="BL30" s="177">
        <v>3.3</v>
      </c>
      <c r="BM30" s="177">
        <f>BK30*BL30</f>
        <v>445.5</v>
      </c>
      <c r="BN30" s="180"/>
      <c r="BQ30" s="177" t="s">
        <v>776</v>
      </c>
      <c r="BR30" s="177" t="s">
        <v>391</v>
      </c>
      <c r="BS30" s="177" t="s">
        <v>391</v>
      </c>
      <c r="BT30" s="177" t="s">
        <v>391</v>
      </c>
      <c r="BU30" s="177" t="s">
        <v>391</v>
      </c>
      <c r="BV30" s="177" t="s">
        <v>391</v>
      </c>
      <c r="BW30" s="177" t="s">
        <v>391</v>
      </c>
      <c r="BX30" s="177" t="s">
        <v>391</v>
      </c>
      <c r="BY30" s="177" t="s">
        <v>391</v>
      </c>
      <c r="BZ30" s="177" t="s">
        <v>391</v>
      </c>
      <c r="CA30" s="177" t="s">
        <v>391</v>
      </c>
      <c r="CB30" s="177" t="s">
        <v>391</v>
      </c>
      <c r="CC30" s="177" t="s">
        <v>391</v>
      </c>
      <c r="CD30" s="177" t="s">
        <v>391</v>
      </c>
      <c r="CE30" s="177" t="s">
        <v>391</v>
      </c>
      <c r="CF30" s="177" t="s">
        <v>391</v>
      </c>
      <c r="CG30" s="177" t="s">
        <v>391</v>
      </c>
      <c r="CH30" s="177" t="s">
        <v>391</v>
      </c>
      <c r="CI30" s="177" t="s">
        <v>391</v>
      </c>
      <c r="CJ30" s="177" t="s">
        <v>391</v>
      </c>
      <c r="CK30" s="177" t="s">
        <v>391</v>
      </c>
      <c r="CL30" s="177" t="s">
        <v>391</v>
      </c>
      <c r="CN30" s="177" t="s">
        <v>510</v>
      </c>
    </row>
    <row r="31" spans="1:92">
      <c r="A31" s="169" t="s">
        <v>5</v>
      </c>
      <c r="B31" s="168"/>
      <c r="C31" s="166">
        <f>IF(OR($J$5="0",$J$5="X"),"",IF($D$4="D",50,30)+H31)</f>
        <v>30</v>
      </c>
      <c r="D31" s="166">
        <v>3</v>
      </c>
      <c r="E31" s="166">
        <f>IF(OR($D$4="D",$D$4="E"),44,32)</f>
        <v>32</v>
      </c>
      <c r="F31" s="166">
        <v>61</v>
      </c>
      <c r="G31" s="168" t="s">
        <v>20</v>
      </c>
      <c r="H31" s="169">
        <v>0</v>
      </c>
      <c r="I31" s="176"/>
      <c r="J31" s="176"/>
      <c r="K31" s="176"/>
      <c r="L31" s="176"/>
      <c r="M31" s="176"/>
      <c r="N31" s="176"/>
      <c r="O31" s="176"/>
      <c r="P31" s="176" t="s">
        <v>153</v>
      </c>
      <c r="Q31" s="176">
        <v>162</v>
      </c>
      <c r="R31" s="176">
        <v>54</v>
      </c>
      <c r="S31" s="176">
        <v>54</v>
      </c>
      <c r="U31" s="176" t="s">
        <v>153</v>
      </c>
      <c r="V31" s="177">
        <v>244</v>
      </c>
      <c r="W31" s="177">
        <v>54</v>
      </c>
      <c r="X31" s="177">
        <v>54</v>
      </c>
      <c r="Z31" s="180" t="s">
        <v>115</v>
      </c>
      <c r="AA31" s="180">
        <v>25</v>
      </c>
      <c r="AB31" s="180">
        <v>145.20000000000002</v>
      </c>
      <c r="AC31" s="180" t="s">
        <v>115</v>
      </c>
      <c r="AD31" s="180">
        <v>25</v>
      </c>
      <c r="AE31" s="180">
        <v>145.20000000000002</v>
      </c>
      <c r="AF31" s="180" t="s">
        <v>153</v>
      </c>
      <c r="AG31" s="180">
        <v>20</v>
      </c>
      <c r="AH31" s="168">
        <v>425</v>
      </c>
      <c r="BJ31" s="180" t="s">
        <v>85</v>
      </c>
      <c r="BK31" s="177">
        <v>180</v>
      </c>
      <c r="BL31" s="177">
        <v>3.8</v>
      </c>
      <c r="BM31" s="177">
        <f>BK31*BL31</f>
        <v>684</v>
      </c>
      <c r="BN31" s="180"/>
      <c r="BQ31" s="120" t="s">
        <v>554</v>
      </c>
      <c r="BR31" s="177" t="s">
        <v>391</v>
      </c>
      <c r="BS31" s="177" t="s">
        <v>391</v>
      </c>
      <c r="BT31" s="177" t="s">
        <v>391</v>
      </c>
      <c r="BU31" s="177" t="s">
        <v>391</v>
      </c>
      <c r="BV31" s="177" t="s">
        <v>391</v>
      </c>
      <c r="BW31" s="177" t="s">
        <v>391</v>
      </c>
      <c r="BX31" s="177" t="s">
        <v>391</v>
      </c>
      <c r="BY31" s="177" t="s">
        <v>391</v>
      </c>
      <c r="BZ31" s="177" t="s">
        <v>391</v>
      </c>
      <c r="CA31" s="177" t="s">
        <v>391</v>
      </c>
      <c r="CB31" s="177" t="s">
        <v>391</v>
      </c>
      <c r="CC31" s="177" t="s">
        <v>391</v>
      </c>
      <c r="CD31" s="177" t="s">
        <v>391</v>
      </c>
      <c r="CE31" s="177" t="s">
        <v>391</v>
      </c>
      <c r="CF31" s="177">
        <v>1754</v>
      </c>
      <c r="CG31" s="177">
        <v>1754</v>
      </c>
      <c r="CH31" s="177">
        <v>1754</v>
      </c>
      <c r="CI31" s="177">
        <v>1754</v>
      </c>
      <c r="CJ31" s="177">
        <v>1754</v>
      </c>
      <c r="CK31" s="177">
        <v>1754</v>
      </c>
      <c r="CL31" s="177">
        <v>1754</v>
      </c>
    </row>
    <row r="32" spans="1:92">
      <c r="A32" s="169" t="s">
        <v>6</v>
      </c>
      <c r="B32" s="168"/>
      <c r="C32" s="166">
        <f>IF(OR($J$5="A",$J$5="B",$J$5="C",$J$5="0",$J$5="X"),"",IF($D$4="D",50,30)+H32)</f>
        <v>30</v>
      </c>
      <c r="D32" s="166">
        <f>D21+10</f>
        <v>10</v>
      </c>
      <c r="E32" s="166">
        <f>IF(OR($D$4="D",$D$4="E"),44,32)</f>
        <v>32</v>
      </c>
      <c r="F32" s="166">
        <v>15</v>
      </c>
      <c r="G32" s="168" t="s">
        <v>20</v>
      </c>
      <c r="H32" s="169">
        <v>0</v>
      </c>
      <c r="I32" s="176"/>
      <c r="J32" s="176"/>
      <c r="K32" s="176"/>
      <c r="L32" s="176"/>
      <c r="M32" s="176"/>
      <c r="N32" s="176"/>
      <c r="O32" s="176"/>
      <c r="Z32" s="180" t="s">
        <v>116</v>
      </c>
      <c r="AA32" s="180">
        <v>28</v>
      </c>
      <c r="AB32" s="180">
        <v>242.00000000000006</v>
      </c>
      <c r="AC32" s="180" t="s">
        <v>116</v>
      </c>
      <c r="AD32" s="180">
        <v>28</v>
      </c>
      <c r="AE32" s="180">
        <v>242.00000000000006</v>
      </c>
      <c r="AF32" s="180" t="s">
        <v>154</v>
      </c>
      <c r="AG32" s="180">
        <v>25</v>
      </c>
      <c r="AH32" s="168">
        <v>450</v>
      </c>
      <c r="AM32" s="177" t="s">
        <v>193</v>
      </c>
      <c r="AN32" s="177" t="s">
        <v>209</v>
      </c>
      <c r="AQ32" s="177" t="s">
        <v>7</v>
      </c>
      <c r="AZ32" s="177" t="s">
        <v>4</v>
      </c>
      <c r="BJ32" s="180" t="s">
        <v>56</v>
      </c>
      <c r="BK32" s="177">
        <v>250</v>
      </c>
      <c r="BL32" s="177">
        <v>4.7</v>
      </c>
      <c r="BM32" s="177">
        <f>BK32*BL32</f>
        <v>1175</v>
      </c>
      <c r="BN32" s="180"/>
      <c r="BQ32" s="120" t="s">
        <v>555</v>
      </c>
      <c r="BR32" s="177" t="s">
        <v>391</v>
      </c>
      <c r="BS32" s="177" t="s">
        <v>391</v>
      </c>
      <c r="BT32" s="177" t="s">
        <v>391</v>
      </c>
      <c r="BU32" s="177" t="s">
        <v>391</v>
      </c>
      <c r="BV32" s="177" t="s">
        <v>391</v>
      </c>
      <c r="BW32" s="177" t="s">
        <v>391</v>
      </c>
      <c r="BX32" s="177" t="s">
        <v>391</v>
      </c>
      <c r="BY32" s="177" t="s">
        <v>391</v>
      </c>
      <c r="BZ32" s="177" t="s">
        <v>391</v>
      </c>
      <c r="CA32" s="177" t="s">
        <v>391</v>
      </c>
      <c r="CB32" s="177" t="s">
        <v>391</v>
      </c>
      <c r="CC32" s="177" t="s">
        <v>391</v>
      </c>
      <c r="CD32" s="177" t="s">
        <v>391</v>
      </c>
      <c r="CE32" s="177" t="s">
        <v>391</v>
      </c>
      <c r="CF32" s="177" t="s">
        <v>391</v>
      </c>
      <c r="CG32" s="177">
        <v>2000</v>
      </c>
      <c r="CH32" s="177">
        <v>2000</v>
      </c>
      <c r="CI32" s="177">
        <v>2000</v>
      </c>
      <c r="CJ32" s="177">
        <v>2000</v>
      </c>
      <c r="CK32" s="177">
        <v>2000</v>
      </c>
      <c r="CL32" s="177">
        <v>2000</v>
      </c>
    </row>
    <row r="33" spans="1:92">
      <c r="A33" s="169" t="s">
        <v>7</v>
      </c>
      <c r="B33" s="168" t="str">
        <f>IF(OR($D$4="F",$D$4="G",,$D$4="H",$D$4="J"),"",IF($H$5="00","",IF(D4="e",VLOOKUP($H$5,$AQ$34:$AS$51,2,FALSE)&amp;"MBH",VLOOKUP($H$5,$AQ$34:$AS$43,2,FALSE)&amp;"MBH")))</f>
        <v/>
      </c>
      <c r="C33" s="166" t="str">
        <f>IF(OR($D$4="F",$D$4="G",,$D$4="H",$D$4="J"),"",IF($H$5="00","",IF(D4="E",VLOOKUP($H$5,$AQ$34:$AS$51,3,FALSE)+H33,VLOOKUP($H$5,$AQ$34:$AS$43,3,FALSE))+H33))</f>
        <v/>
      </c>
      <c r="D33" s="166" t="str">
        <f>IF(OR($D$4="F",$D$4="G",,$D$4="H",$D$4="J"),"",IF($J$4="000",INDEX($Q$107:$S$111,MATCH($D$4,$P$107:$P$111,0),MATCH(D$7,$Q$106:$S$106,0)),INDEX($V$107:$X$111,MATCH($D$4,$U$107:$U$111,0),MATCH(D$7,$V$106:$X$106,0))))</f>
        <v/>
      </c>
      <c r="E33" s="166" t="str">
        <f>IF(OR($D$4="F",$D$4="G",,$D$4="H",$D$4="J"),"",IF($J$4="000",INDEX($Q$107:$S$111,MATCH($D$4,$P$107:$P$111,0),MATCH(E$7,$Q$106:$S$106,0)),INDEX($V$107:$X$111,MATCH($D$4,$U$107:$U$111,0),MATCH(E$7,$V$106:$X$106,0))))</f>
        <v/>
      </c>
      <c r="F33" s="166" t="str">
        <f>IF(OR($D$4="F",$D$4="G",,$D$4="H",$D$4="J"),"",IF($J$4="000",INDEX($Q$107:$S$111,MATCH($D$4,$P$107:$P$111,0),MATCH(F$7,$Q$106:$S$106,0)),INDEX($V$107:$X$111,MATCH($D$4,$U$107:$U$111,0),MATCH(F$7,$V$106:$X$106,0))))</f>
        <v/>
      </c>
      <c r="G33" s="168" t="s">
        <v>20</v>
      </c>
      <c r="H33" s="169"/>
      <c r="I33" s="176"/>
      <c r="J33" s="176"/>
      <c r="K33" s="176"/>
      <c r="L33" s="176"/>
      <c r="M33" s="176"/>
      <c r="N33" s="176"/>
      <c r="O33" s="176"/>
      <c r="Z33" s="180" t="s">
        <v>117</v>
      </c>
      <c r="AA33" s="180">
        <v>10</v>
      </c>
      <c r="AB33" s="180">
        <v>29.040000000000006</v>
      </c>
      <c r="AC33" s="180" t="s">
        <v>117</v>
      </c>
      <c r="AD33" s="180">
        <v>10</v>
      </c>
      <c r="AE33" s="180">
        <v>29.040000000000006</v>
      </c>
      <c r="AF33" s="180" t="s">
        <v>69</v>
      </c>
      <c r="AG33" s="180">
        <v>30</v>
      </c>
      <c r="AH33" s="168">
        <v>500</v>
      </c>
      <c r="AM33" s="177">
        <v>0</v>
      </c>
      <c r="AN33" s="177">
        <v>0</v>
      </c>
      <c r="AO33" s="177">
        <v>0</v>
      </c>
      <c r="AQ33" s="177">
        <v>0</v>
      </c>
      <c r="AR33" s="177">
        <v>0</v>
      </c>
      <c r="AS33" s="177">
        <v>0</v>
      </c>
      <c r="AU33" s="177">
        <v>0</v>
      </c>
      <c r="AV33" s="177">
        <v>0</v>
      </c>
      <c r="AW33" s="177">
        <v>0</v>
      </c>
      <c r="AZ33" s="177">
        <v>0</v>
      </c>
      <c r="BA33" s="177">
        <v>0</v>
      </c>
      <c r="BB33" s="177">
        <v>0</v>
      </c>
      <c r="BJ33" s="180" t="s">
        <v>86</v>
      </c>
      <c r="BK33" s="177">
        <v>541</v>
      </c>
      <c r="BL33" s="177">
        <v>3.5</v>
      </c>
      <c r="BM33" s="177">
        <f>BK33*BL33</f>
        <v>1893.5</v>
      </c>
      <c r="BN33" s="180"/>
    </row>
    <row r="34" spans="1:92">
      <c r="A34" s="169" t="s">
        <v>8</v>
      </c>
      <c r="B34" s="168" t="str">
        <f>IF(OR($D$4="F",$D$4="G",,$D$4="H",$D$4="J"),IF($H$5="00","",VLOOKUP($H$5,$AQ$34:$AS$57,2,FALSE)&amp;"MBH"),"")</f>
        <v/>
      </c>
      <c r="C34" s="166" t="str">
        <f>IF(OR($D$4="F",$D$4="G",,$D$4="H",$D$4="J"),IF($H$5="00","",VLOOKUP($H$5,$AQ$34:$AS$57,3,FALSE)+H35),"")</f>
        <v/>
      </c>
      <c r="D34" s="166">
        <f>IF(OR($D$4="F",$D$4="G",,$D$4="H",$D$4="J"),IF($J$4="000",INDEX($Q$112:$S$115,MATCH($D$4,$P$112:$P$115,0),MATCH(D$7,$Q$106:$S$106,0)),INDEX($V$112:$X$115,MATCH($D$4,$U$112:$U$115,0),MATCH(D$7,$V$106:$X$106,0))),"")</f>
        <v>163</v>
      </c>
      <c r="E34" s="166">
        <f>IF(OR($D$4="F",$D$4="G",,$D$4="H",$D$4="J"),IF($J$4="000",INDEX($Q$112:$S$115,MATCH($D$4,$P$112:$P$115,0),MATCH(E$7,$Q$106:$S$106,0)),INDEX($V$112:$X$115,MATCH($D$4,$U$112:$U$115,0),MATCH(E$7,$V$106:$X$106,0))),"")</f>
        <v>55</v>
      </c>
      <c r="F34" s="166">
        <f>IF(OR($D$4="F",$D$4="G",,$D$4="H",$D$4="J"),IF($J$4="000",INDEX($Q$112:$S$115,MATCH($D$4,$P$112:$P$115,0),MATCH(F$7,$Q$106:$S$106,0)),INDEX($V$112:$X$115,MATCH($D$4,$U$112:$U$115,0),MATCH(F$7,$V$106:$X$106,0))),"")</f>
        <v>54</v>
      </c>
      <c r="G34" s="168" t="s">
        <v>20</v>
      </c>
      <c r="H34" s="169">
        <v>0</v>
      </c>
      <c r="I34" s="176"/>
      <c r="J34" s="176"/>
      <c r="K34" s="176"/>
      <c r="L34" s="176"/>
      <c r="M34" s="176"/>
      <c r="N34" s="176"/>
      <c r="O34" s="176"/>
      <c r="U34" s="180" t="s">
        <v>163</v>
      </c>
      <c r="V34" s="180" t="s">
        <v>19</v>
      </c>
      <c r="W34" s="180" t="s">
        <v>20</v>
      </c>
      <c r="X34" s="180" t="s">
        <v>21</v>
      </c>
      <c r="Z34" s="180" t="s">
        <v>118</v>
      </c>
      <c r="AA34" s="180">
        <v>11</v>
      </c>
      <c r="AB34" s="180">
        <v>29.040000000000006</v>
      </c>
      <c r="AC34" s="180" t="s">
        <v>118</v>
      </c>
      <c r="AD34" s="180">
        <v>11</v>
      </c>
      <c r="AE34" s="180">
        <v>29.040000000000006</v>
      </c>
      <c r="AF34" s="180" t="s">
        <v>155</v>
      </c>
      <c r="AG34" s="180" t="s">
        <v>156</v>
      </c>
      <c r="AH34" s="168">
        <v>0</v>
      </c>
      <c r="AM34" s="177" t="s">
        <v>58</v>
      </c>
      <c r="AN34" s="177">
        <v>5</v>
      </c>
      <c r="AO34" s="177">
        <v>10</v>
      </c>
      <c r="AQ34" s="177" t="s">
        <v>9</v>
      </c>
      <c r="AR34" s="177">
        <v>75</v>
      </c>
      <c r="AS34" s="177">
        <v>65</v>
      </c>
      <c r="AU34" s="177" t="s">
        <v>9</v>
      </c>
      <c r="AV34" s="177" t="s">
        <v>213</v>
      </c>
      <c r="AW34" s="177">
        <v>0</v>
      </c>
      <c r="AZ34" s="177" t="s">
        <v>58</v>
      </c>
      <c r="BA34" s="177">
        <v>244</v>
      </c>
      <c r="BB34" s="177">
        <v>70</v>
      </c>
      <c r="BJ34" s="180" t="s">
        <v>103</v>
      </c>
      <c r="BK34" s="177">
        <v>1450</v>
      </c>
      <c r="BL34" s="177">
        <v>3.8</v>
      </c>
      <c r="BM34" s="177">
        <f>BK34*BL34</f>
        <v>5510</v>
      </c>
      <c r="BN34" s="180"/>
      <c r="BO34" s="177" t="s">
        <v>778</v>
      </c>
      <c r="CM34" s="119" t="s">
        <v>447</v>
      </c>
      <c r="CN34" s="177" t="s">
        <v>448</v>
      </c>
    </row>
    <row r="35" spans="1:92">
      <c r="A35" s="169" t="s">
        <v>23</v>
      </c>
      <c r="B35" s="168" t="str">
        <f>IF($F$5="0","",VLOOKUP($F$5,$AM$33:$AO$54,2,FALSE)&amp;"kW")</f>
        <v>60kW</v>
      </c>
      <c r="C35" s="166">
        <f>IF($F$5="0","",VLOOKUP($F$5,$AM$34:$AO$54,3,FALSE)+H35)</f>
        <v>70</v>
      </c>
      <c r="D35" s="166">
        <f>D9</f>
        <v>162</v>
      </c>
      <c r="E35" s="166">
        <f>E9</f>
        <v>54</v>
      </c>
      <c r="F35" s="166">
        <f>F9-20</f>
        <v>34</v>
      </c>
      <c r="G35" s="168" t="s">
        <v>20</v>
      </c>
      <c r="H35" s="169">
        <v>0</v>
      </c>
      <c r="I35" s="176"/>
      <c r="J35" s="176"/>
      <c r="K35" s="176"/>
      <c r="L35" s="176"/>
      <c r="M35" s="176"/>
      <c r="N35" s="176"/>
      <c r="O35" s="176"/>
      <c r="U35" s="180" t="s">
        <v>58</v>
      </c>
      <c r="V35" s="180">
        <v>15</v>
      </c>
      <c r="W35" s="180">
        <v>38</v>
      </c>
      <c r="X35" s="180">
        <v>18</v>
      </c>
      <c r="Z35" s="180" t="s">
        <v>119</v>
      </c>
      <c r="AA35" s="180">
        <v>12</v>
      </c>
      <c r="AB35" s="180">
        <v>29.040000000000006</v>
      </c>
      <c r="AC35" s="180" t="s">
        <v>119</v>
      </c>
      <c r="AD35" s="180">
        <v>12</v>
      </c>
      <c r="AE35" s="180">
        <v>29.040000000000006</v>
      </c>
      <c r="AF35" s="180" t="s">
        <v>41</v>
      </c>
      <c r="AG35" s="180">
        <v>0</v>
      </c>
      <c r="AH35" s="168">
        <v>0</v>
      </c>
      <c r="AM35" s="177" t="s">
        <v>85</v>
      </c>
      <c r="AN35" s="177">
        <v>10</v>
      </c>
      <c r="AO35" s="177">
        <v>15</v>
      </c>
      <c r="AQ35" s="177" t="s">
        <v>26</v>
      </c>
      <c r="AR35" s="177">
        <v>100</v>
      </c>
      <c r="AS35" s="177">
        <v>75</v>
      </c>
      <c r="AU35" s="177" t="s">
        <v>26</v>
      </c>
      <c r="AV35" s="177" t="s">
        <v>213</v>
      </c>
      <c r="AW35" s="177">
        <v>0</v>
      </c>
      <c r="AZ35" s="177" t="s">
        <v>85</v>
      </c>
      <c r="BA35" s="177">
        <v>324</v>
      </c>
      <c r="BB35" s="177">
        <v>160</v>
      </c>
      <c r="CM35" s="119" t="s">
        <v>449</v>
      </c>
      <c r="CN35" s="177" t="s">
        <v>450</v>
      </c>
    </row>
    <row r="36" spans="1:92">
      <c r="A36" s="169" t="s">
        <v>71</v>
      </c>
      <c r="B36" s="168"/>
      <c r="C36" s="166">
        <f>IF($F$4="","",$C$4/12*2.5)</f>
        <v>150</v>
      </c>
      <c r="D36" s="166">
        <f>IF($E$4="0",D13-5,D12-10)</f>
        <v>235</v>
      </c>
      <c r="E36" s="166">
        <f>E12</f>
        <v>0</v>
      </c>
      <c r="F36" s="166">
        <f>F12</f>
        <v>0</v>
      </c>
      <c r="G36" s="176"/>
      <c r="H36" s="169">
        <v>0</v>
      </c>
      <c r="I36" s="176"/>
      <c r="J36" s="176"/>
      <c r="K36" s="176"/>
      <c r="L36" s="176"/>
      <c r="M36" s="176"/>
      <c r="N36" s="176"/>
      <c r="O36" s="176"/>
      <c r="U36" s="180" t="s">
        <v>85</v>
      </c>
      <c r="V36" s="180">
        <v>18</v>
      </c>
      <c r="W36" s="180">
        <v>38</v>
      </c>
      <c r="X36" s="180">
        <v>20</v>
      </c>
      <c r="Z36" s="180" t="s">
        <v>120</v>
      </c>
      <c r="AA36" s="180">
        <v>14</v>
      </c>
      <c r="AB36" s="180">
        <v>43.56</v>
      </c>
      <c r="AC36" s="180" t="s">
        <v>120</v>
      </c>
      <c r="AD36" s="180">
        <v>14</v>
      </c>
      <c r="AE36" s="180">
        <v>43.56</v>
      </c>
      <c r="AF36" s="180"/>
      <c r="AG36" s="180"/>
      <c r="AH36" s="180"/>
      <c r="AM36" s="177" t="s">
        <v>56</v>
      </c>
      <c r="AN36" s="177">
        <v>15</v>
      </c>
      <c r="AO36" s="177">
        <v>20</v>
      </c>
      <c r="AQ36" s="177" t="s">
        <v>201</v>
      </c>
      <c r="AR36" s="177">
        <v>150</v>
      </c>
      <c r="AS36" s="177">
        <v>103</v>
      </c>
      <c r="AU36" s="177" t="s">
        <v>201</v>
      </c>
      <c r="AV36" s="177" t="s">
        <v>213</v>
      </c>
      <c r="AW36" s="177">
        <v>0</v>
      </c>
      <c r="AZ36" s="177" t="s">
        <v>56</v>
      </c>
      <c r="BA36" s="177">
        <v>364</v>
      </c>
      <c r="BB36" s="177">
        <v>200</v>
      </c>
      <c r="BJ36" s="181" t="s">
        <v>217</v>
      </c>
      <c r="BN36" s="181"/>
      <c r="CM36" s="119" t="s">
        <v>451</v>
      </c>
      <c r="CN36" s="177" t="s">
        <v>452</v>
      </c>
    </row>
    <row r="37" spans="1:92">
      <c r="A37" s="169" t="s">
        <v>40</v>
      </c>
      <c r="B37" s="168"/>
      <c r="C37" s="166">
        <f>IF(OR(RIGHT($B$4,1)="W",RIGHT($B$4,1)="G"),VLOOKUP($C$4,$BJ$1:$BL$22,3,FALSE)+H37,"")</f>
        <v>120</v>
      </c>
      <c r="D37" s="166">
        <f>D13</f>
        <v>240</v>
      </c>
      <c r="E37" s="166">
        <f>E13</f>
        <v>64</v>
      </c>
      <c r="F37" s="166">
        <f>F13</f>
        <v>45</v>
      </c>
      <c r="G37" s="176"/>
      <c r="H37" s="169">
        <v>0</v>
      </c>
      <c r="I37" s="176"/>
      <c r="J37" s="176"/>
      <c r="K37" s="176"/>
      <c r="L37" s="176"/>
      <c r="M37" s="176"/>
      <c r="N37" s="176"/>
      <c r="O37" s="176"/>
      <c r="U37" s="180" t="s">
        <v>56</v>
      </c>
      <c r="V37" s="180">
        <v>17.75</v>
      </c>
      <c r="W37" s="180">
        <v>38</v>
      </c>
      <c r="X37" s="180">
        <v>20</v>
      </c>
      <c r="Z37" s="180" t="s">
        <v>121</v>
      </c>
      <c r="AA37" s="180">
        <v>16</v>
      </c>
      <c r="AB37" s="180">
        <v>53.240000000000009</v>
      </c>
      <c r="AC37" s="180" t="s">
        <v>121</v>
      </c>
      <c r="AD37" s="180">
        <v>16</v>
      </c>
      <c r="AE37" s="180">
        <v>53.240000000000009</v>
      </c>
      <c r="AF37" s="180"/>
      <c r="AG37" s="185" t="s">
        <v>161</v>
      </c>
      <c r="AH37" s="186" t="s">
        <v>70</v>
      </c>
      <c r="AI37" s="186" t="s">
        <v>162</v>
      </c>
      <c r="AJ37" s="187" t="s">
        <v>70</v>
      </c>
      <c r="AM37" s="177" t="s">
        <v>86</v>
      </c>
      <c r="AN37" s="177">
        <v>20</v>
      </c>
      <c r="AO37" s="177">
        <v>25</v>
      </c>
      <c r="AQ37" s="177" t="s">
        <v>202</v>
      </c>
      <c r="AR37" s="177">
        <v>200</v>
      </c>
      <c r="AS37" s="177">
        <v>123</v>
      </c>
      <c r="AU37" s="177" t="s">
        <v>202</v>
      </c>
      <c r="AV37" s="177" t="s">
        <v>213</v>
      </c>
      <c r="AW37" s="177">
        <v>0</v>
      </c>
      <c r="AZ37" s="177" t="s">
        <v>86</v>
      </c>
      <c r="BA37" s="177">
        <v>424</v>
      </c>
      <c r="BB37" s="177">
        <v>210</v>
      </c>
      <c r="BJ37" s="180" t="s">
        <v>58</v>
      </c>
      <c r="BK37" s="177">
        <v>193</v>
      </c>
      <c r="BL37" s="177">
        <v>3.3</v>
      </c>
      <c r="BM37" s="177">
        <f>BK37*BL37</f>
        <v>636.9</v>
      </c>
      <c r="BN37" s="180"/>
      <c r="CM37" s="119" t="s">
        <v>453</v>
      </c>
      <c r="CN37" s="177" t="s">
        <v>454</v>
      </c>
    </row>
    <row r="38" spans="1:92">
      <c r="A38" s="169" t="s">
        <v>386</v>
      </c>
      <c r="B38" s="168"/>
      <c r="C38" s="166" t="str">
        <f>IF(C26="","",VLOOKUP($C$4,$AM$58:$AN$78,2,FALSE)*2)</f>
        <v/>
      </c>
      <c r="D38" s="166">
        <f t="shared" ref="D38:F39" si="3">D26</f>
        <v>60</v>
      </c>
      <c r="E38" s="166">
        <f t="shared" si="3"/>
        <v>55</v>
      </c>
      <c r="F38" s="166">
        <f t="shared" si="3"/>
        <v>54</v>
      </c>
      <c r="G38" s="176"/>
      <c r="H38" s="169">
        <v>0</v>
      </c>
      <c r="I38" s="176"/>
      <c r="J38" s="176"/>
      <c r="K38" s="176"/>
      <c r="L38" s="176"/>
      <c r="M38" s="176"/>
      <c r="N38" s="176"/>
      <c r="O38" s="176"/>
      <c r="P38" s="176"/>
      <c r="Q38" s="176"/>
      <c r="R38" s="176"/>
      <c r="S38" s="176"/>
      <c r="U38" s="180" t="s">
        <v>86</v>
      </c>
      <c r="V38" s="180">
        <v>36</v>
      </c>
      <c r="W38" s="180">
        <v>48</v>
      </c>
      <c r="X38" s="180">
        <v>25</v>
      </c>
      <c r="Z38" s="180" t="s">
        <v>122</v>
      </c>
      <c r="AA38" s="180">
        <v>18</v>
      </c>
      <c r="AB38" s="180">
        <v>62.920000000000009</v>
      </c>
      <c r="AC38" s="180" t="s">
        <v>122</v>
      </c>
      <c r="AD38" s="180">
        <v>18</v>
      </c>
      <c r="AE38" s="180">
        <v>62.920000000000009</v>
      </c>
      <c r="AF38" s="180"/>
      <c r="AG38" s="188">
        <v>10</v>
      </c>
      <c r="AH38" s="176">
        <v>6</v>
      </c>
      <c r="AI38" s="176">
        <v>1</v>
      </c>
      <c r="AJ38" s="189">
        <v>34</v>
      </c>
      <c r="AM38" s="177" t="s">
        <v>103</v>
      </c>
      <c r="AN38" s="177">
        <v>25</v>
      </c>
      <c r="AO38" s="177">
        <v>30</v>
      </c>
      <c r="AQ38" s="177" t="s">
        <v>203</v>
      </c>
      <c r="AR38" s="177">
        <v>250</v>
      </c>
      <c r="AS38" s="177">
        <v>158</v>
      </c>
      <c r="AU38" s="177" t="s">
        <v>203</v>
      </c>
      <c r="AV38" s="177" t="s">
        <v>213</v>
      </c>
      <c r="AW38" s="177">
        <v>0</v>
      </c>
      <c r="AZ38" s="177" t="s">
        <v>103</v>
      </c>
      <c r="BA38" s="177">
        <v>484</v>
      </c>
      <c r="BB38" s="177">
        <v>280</v>
      </c>
      <c r="BJ38" s="180" t="s">
        <v>85</v>
      </c>
      <c r="BK38" s="177">
        <v>241</v>
      </c>
      <c r="BL38" s="177">
        <v>3.8</v>
      </c>
      <c r="BM38" s="177">
        <f>BK38*BL38</f>
        <v>915.8</v>
      </c>
      <c r="BN38" s="180"/>
    </row>
    <row r="39" spans="1:92">
      <c r="A39" s="169" t="s">
        <v>190</v>
      </c>
      <c r="B39" s="168"/>
      <c r="C39" s="166" t="str">
        <f>IF(C27="","",VLOOKUP($C$4,$AM$58:$AN$78,2,FALSE))</f>
        <v/>
      </c>
      <c r="D39" s="166">
        <f t="shared" si="3"/>
        <v>55</v>
      </c>
      <c r="E39" s="166">
        <f t="shared" si="3"/>
        <v>55</v>
      </c>
      <c r="F39" s="166">
        <f t="shared" si="3"/>
        <v>54</v>
      </c>
      <c r="G39" s="176"/>
      <c r="H39" s="169">
        <v>0</v>
      </c>
      <c r="I39" s="176"/>
      <c r="J39" s="176"/>
      <c r="K39" s="176"/>
      <c r="L39" s="176"/>
      <c r="M39" s="176"/>
      <c r="N39" s="176"/>
      <c r="O39" s="176"/>
      <c r="U39" s="180" t="s">
        <v>103</v>
      </c>
      <c r="V39" s="177">
        <v>25</v>
      </c>
      <c r="W39" s="177">
        <v>60</v>
      </c>
      <c r="X39" s="177">
        <v>30</v>
      </c>
      <c r="Z39" s="180" t="s">
        <v>123</v>
      </c>
      <c r="AA39" s="180">
        <v>20</v>
      </c>
      <c r="AB39" s="180">
        <v>82.280000000000015</v>
      </c>
      <c r="AC39" s="180" t="s">
        <v>123</v>
      </c>
      <c r="AD39" s="180">
        <v>20</v>
      </c>
      <c r="AE39" s="180">
        <v>82.280000000000015</v>
      </c>
      <c r="AF39" s="180"/>
      <c r="AG39" s="188">
        <v>11</v>
      </c>
      <c r="AH39" s="176">
        <v>6</v>
      </c>
      <c r="AI39" s="176">
        <v>1.5</v>
      </c>
      <c r="AJ39" s="189">
        <v>37.5</v>
      </c>
      <c r="AM39" s="177" t="s">
        <v>61</v>
      </c>
      <c r="AN39" s="177">
        <v>30</v>
      </c>
      <c r="AO39" s="177">
        <v>35</v>
      </c>
      <c r="AQ39" s="177" t="s">
        <v>204</v>
      </c>
      <c r="AR39" s="177">
        <v>300</v>
      </c>
      <c r="AS39" s="177">
        <v>179</v>
      </c>
      <c r="AU39" s="177" t="s">
        <v>204</v>
      </c>
      <c r="AV39" s="177" t="s">
        <v>213</v>
      </c>
      <c r="AW39" s="177">
        <v>0</v>
      </c>
      <c r="AZ39" s="177" t="s">
        <v>61</v>
      </c>
      <c r="BA39" s="177">
        <v>486</v>
      </c>
      <c r="BB39" s="177">
        <v>310</v>
      </c>
      <c r="BI39" s="119"/>
      <c r="BJ39" s="180" t="s">
        <v>56</v>
      </c>
      <c r="BK39" s="177">
        <v>330</v>
      </c>
      <c r="BL39" s="177">
        <v>4.7</v>
      </c>
      <c r="BM39" s="177">
        <f>BK39*BL39</f>
        <v>1551</v>
      </c>
      <c r="BN39" s="180"/>
      <c r="CE39" s="177" t="s">
        <v>448</v>
      </c>
      <c r="CM39" s="120" t="s">
        <v>455</v>
      </c>
      <c r="CN39" s="177" t="s">
        <v>456</v>
      </c>
    </row>
    <row r="40" spans="1:92">
      <c r="A40" s="169"/>
      <c r="B40" s="168"/>
      <c r="C40" s="166"/>
      <c r="D40" s="166" t="s">
        <v>41</v>
      </c>
      <c r="E40" s="166" t="s">
        <v>42</v>
      </c>
      <c r="F40" s="166" t="s">
        <v>43</v>
      </c>
      <c r="G40" s="176"/>
      <c r="H40" s="190"/>
      <c r="I40" s="176"/>
      <c r="J40" s="176"/>
      <c r="K40" s="176"/>
      <c r="L40" s="176"/>
      <c r="M40" s="176"/>
      <c r="N40" s="176"/>
      <c r="O40" s="176"/>
      <c r="U40" s="176" t="s">
        <v>61</v>
      </c>
      <c r="V40" s="180">
        <v>18</v>
      </c>
      <c r="W40" s="180">
        <v>38</v>
      </c>
      <c r="X40" s="180">
        <v>20</v>
      </c>
      <c r="Z40" s="180" t="s">
        <v>124</v>
      </c>
      <c r="AA40" s="180">
        <v>22</v>
      </c>
      <c r="AB40" s="180">
        <v>106.48000000000002</v>
      </c>
      <c r="AC40" s="180" t="s">
        <v>124</v>
      </c>
      <c r="AD40" s="180">
        <v>22</v>
      </c>
      <c r="AE40" s="180">
        <v>106.48000000000002</v>
      </c>
      <c r="AF40" s="180"/>
      <c r="AG40" s="188">
        <v>12</v>
      </c>
      <c r="AH40" s="176">
        <v>6</v>
      </c>
      <c r="AI40" s="176">
        <v>2</v>
      </c>
      <c r="AJ40" s="189">
        <v>40</v>
      </c>
      <c r="AM40" s="177" t="s">
        <v>66</v>
      </c>
      <c r="AN40" s="177">
        <v>35</v>
      </c>
      <c r="AO40" s="177">
        <v>40</v>
      </c>
      <c r="AQ40" s="177" t="s">
        <v>205</v>
      </c>
      <c r="AR40" s="177">
        <v>350</v>
      </c>
      <c r="AS40" s="177">
        <v>209</v>
      </c>
      <c r="AU40" s="177" t="s">
        <v>205</v>
      </c>
      <c r="AV40" s="177" t="s">
        <v>213</v>
      </c>
      <c r="AW40" s="177">
        <v>0</v>
      </c>
      <c r="AZ40" s="177" t="s">
        <v>66</v>
      </c>
      <c r="BA40" s="177">
        <v>544</v>
      </c>
      <c r="BB40" s="177">
        <v>330</v>
      </c>
      <c r="BI40" s="119"/>
      <c r="BJ40" s="180" t="s">
        <v>86</v>
      </c>
      <c r="BK40" s="177">
        <v>841</v>
      </c>
      <c r="BL40" s="177">
        <v>3.5</v>
      </c>
      <c r="BM40" s="177">
        <f>BK40*BL40</f>
        <v>2943.5</v>
      </c>
      <c r="BN40" s="180"/>
      <c r="CE40" s="177" t="s">
        <v>450</v>
      </c>
      <c r="CM40" s="120" t="s">
        <v>457</v>
      </c>
      <c r="CN40" s="177" t="s">
        <v>458</v>
      </c>
    </row>
    <row r="41" spans="1:92">
      <c r="A41" s="169" t="s">
        <v>44</v>
      </c>
      <c r="B41" s="168"/>
      <c r="C41" s="166">
        <f>SUM(C8:C36)*1.03+H41</f>
        <v>9682.4731745469544</v>
      </c>
      <c r="D41" s="170">
        <f>(SUMPRODUCT((C8:C36),(D8:D36))/SUM(C8:C36))-D44</f>
        <v>112.30326275892922</v>
      </c>
      <c r="E41" s="170">
        <f>(SUMPRODUCT((C8:C36),(E8:E36))/SUM(C8:C36))-E44</f>
        <v>54.985330350186388</v>
      </c>
      <c r="F41" s="170">
        <f>(SUMPRODUCT((C8:C36),(F8:F36))/SUM(C8:C36))-F44</f>
        <v>63.219014183827362</v>
      </c>
      <c r="G41" s="176"/>
      <c r="H41" s="169">
        <v>0</v>
      </c>
      <c r="I41" s="176"/>
      <c r="J41" s="176"/>
      <c r="K41" s="176"/>
      <c r="L41" s="176"/>
      <c r="M41" s="176"/>
      <c r="N41" s="176"/>
      <c r="O41" s="176"/>
      <c r="U41" s="176" t="s">
        <v>66</v>
      </c>
      <c r="V41" s="180">
        <v>17.75</v>
      </c>
      <c r="W41" s="180">
        <v>38</v>
      </c>
      <c r="X41" s="180">
        <v>20</v>
      </c>
      <c r="Z41" s="180" t="s">
        <v>125</v>
      </c>
      <c r="AA41" s="180">
        <v>25</v>
      </c>
      <c r="AB41" s="180">
        <v>145.20000000000002</v>
      </c>
      <c r="AC41" s="180" t="s">
        <v>125</v>
      </c>
      <c r="AD41" s="180">
        <v>25</v>
      </c>
      <c r="AE41" s="180">
        <v>145.20000000000002</v>
      </c>
      <c r="AF41" s="180"/>
      <c r="AG41" s="188">
        <v>14</v>
      </c>
      <c r="AH41" s="176">
        <v>9</v>
      </c>
      <c r="AI41" s="176">
        <v>3</v>
      </c>
      <c r="AJ41" s="189">
        <v>69</v>
      </c>
      <c r="AM41" s="177" t="s">
        <v>60</v>
      </c>
      <c r="AN41" s="177">
        <v>40</v>
      </c>
      <c r="AO41" s="177">
        <v>45</v>
      </c>
      <c r="AQ41" s="177" t="s">
        <v>206</v>
      </c>
      <c r="AR41" s="177">
        <v>400</v>
      </c>
      <c r="AS41" s="177">
        <v>222</v>
      </c>
      <c r="AU41" s="177" t="s">
        <v>206</v>
      </c>
      <c r="AV41" s="177" t="s">
        <v>213</v>
      </c>
      <c r="AW41" s="177">
        <v>0</v>
      </c>
      <c r="AZ41" s="177" t="s">
        <v>60</v>
      </c>
      <c r="BA41" s="177">
        <v>604</v>
      </c>
      <c r="BB41" s="177">
        <v>460</v>
      </c>
      <c r="BI41" s="119"/>
      <c r="BJ41" s="180" t="s">
        <v>103</v>
      </c>
      <c r="BK41" s="177">
        <v>1800</v>
      </c>
      <c r="BL41" s="177">
        <v>4</v>
      </c>
      <c r="BM41" s="177">
        <f>BK41*BL41</f>
        <v>7200</v>
      </c>
      <c r="BO41" s="177" t="s">
        <v>401</v>
      </c>
      <c r="CE41" s="177" t="s">
        <v>452</v>
      </c>
      <c r="CM41" s="120" t="s">
        <v>459</v>
      </c>
      <c r="CN41" s="177" t="s">
        <v>460</v>
      </c>
    </row>
    <row r="42" spans="1:92" ht="13.5" thickBot="1">
      <c r="A42" s="169" t="s">
        <v>45</v>
      </c>
      <c r="B42" s="168"/>
      <c r="C42" s="166">
        <f>C41+SUM(C37:C39)</f>
        <v>9802.4731745469544</v>
      </c>
      <c r="D42" s="170">
        <f>((SUMPRODUCT((C8:C36),(D8:D36))+SUMPRODUCT((C37:C39),(D37:D39)))/(SUM(C8:C36)+SUM(C37:C39)))-D44</f>
        <v>113.91280782779167</v>
      </c>
      <c r="E42" s="170">
        <f>((SUMPRODUCT((C8:C36),(E8:E36))+SUMPRODUCT((C37:C39),(E37:E39)))/(SUM(C8:C36)+SUM(C37:C39)))-E44</f>
        <v>55.098955156863241</v>
      </c>
      <c r="F42" s="170">
        <f>((SUMPRODUCT((C8:C36),(F8:F36))+SUMPRODUCT((C37:C39),(F37:F39)))/(SUM(C8:C36)+SUM(C37:C39)))-F44</f>
        <v>62.989373825955454</v>
      </c>
      <c r="G42" s="176"/>
      <c r="H42" s="169">
        <v>0</v>
      </c>
      <c r="I42" s="176"/>
      <c r="J42" s="176"/>
      <c r="K42" s="176"/>
      <c r="L42" s="176"/>
      <c r="M42" s="176"/>
      <c r="N42" s="176"/>
      <c r="O42" s="176"/>
      <c r="U42" s="176" t="s">
        <v>60</v>
      </c>
      <c r="V42" s="180">
        <v>36</v>
      </c>
      <c r="W42" s="180">
        <v>48</v>
      </c>
      <c r="X42" s="180">
        <v>25</v>
      </c>
      <c r="Z42" s="180" t="s">
        <v>126</v>
      </c>
      <c r="AA42" s="180">
        <v>28</v>
      </c>
      <c r="AB42" s="180">
        <v>242.00000000000006</v>
      </c>
      <c r="AC42" s="180" t="s">
        <v>126</v>
      </c>
      <c r="AD42" s="180">
        <v>28</v>
      </c>
      <c r="AE42" s="180">
        <v>242.00000000000006</v>
      </c>
      <c r="AF42" s="180"/>
      <c r="AG42" s="188">
        <v>16</v>
      </c>
      <c r="AH42" s="176">
        <v>11</v>
      </c>
      <c r="AI42" s="176">
        <v>5</v>
      </c>
      <c r="AJ42" s="189">
        <v>84</v>
      </c>
      <c r="AM42" s="177" t="s">
        <v>153</v>
      </c>
      <c r="AN42" s="177">
        <v>45</v>
      </c>
      <c r="AO42" s="177">
        <v>50</v>
      </c>
      <c r="AQ42" s="177" t="s">
        <v>568</v>
      </c>
      <c r="AR42" s="177">
        <v>500</v>
      </c>
      <c r="AS42" s="177">
        <v>235</v>
      </c>
      <c r="AU42" s="177" t="s">
        <v>10</v>
      </c>
      <c r="AV42" s="177">
        <v>200</v>
      </c>
      <c r="AW42" s="177">
        <v>0</v>
      </c>
      <c r="AZ42" s="177" t="s">
        <v>153</v>
      </c>
      <c r="BA42" s="177">
        <v>606</v>
      </c>
      <c r="BB42" s="177">
        <v>540</v>
      </c>
      <c r="BI42" s="119"/>
      <c r="CE42" s="177" t="s">
        <v>454</v>
      </c>
      <c r="CM42" s="120" t="s">
        <v>461</v>
      </c>
      <c r="CN42" s="177" t="s">
        <v>462</v>
      </c>
    </row>
    <row r="43" spans="1:92" ht="18.75" thickBot="1">
      <c r="A43" s="168"/>
      <c r="B43" s="168"/>
      <c r="C43" s="168" t="s">
        <v>46</v>
      </c>
      <c r="D43" s="171">
        <f>IF($J$4="000",INDEX($BT$46:$BU$84,MATCH($B$5,BS46:BS84,0),MATCH($D$40,$BT$45:$BU$45,0)),INDEX($BW$46:$BX$84,MATCH($B$5,BS46:BS84,0),MATCH($D$40,$BW$45:$BX$45,0)))</f>
        <v>201</v>
      </c>
      <c r="E43" s="168" t="s">
        <v>47</v>
      </c>
      <c r="F43" s="172">
        <f>IF($J$4="000",INDEX($BT$46:$BV$84,MATCH($B$5,BS46:BS84,0),MATCH($E$40,$BT$45:$BV$45,0)),INDEX($BW$46:$BY$84,MATCH($B$5,BS46:BS84,0),MATCH($E$40,$BW$45:$BY$45,0)))</f>
        <v>100</v>
      </c>
      <c r="G43" s="176"/>
      <c r="H43" s="176"/>
      <c r="I43" s="176"/>
      <c r="J43" s="176"/>
      <c r="K43" s="176"/>
      <c r="L43" s="176"/>
      <c r="M43" s="176"/>
      <c r="N43" s="176"/>
      <c r="O43" s="176"/>
      <c r="U43" s="176" t="s">
        <v>153</v>
      </c>
      <c r="V43" s="177">
        <v>25</v>
      </c>
      <c r="W43" s="177">
        <v>60</v>
      </c>
      <c r="X43" s="177">
        <v>30</v>
      </c>
      <c r="Z43" s="180" t="s">
        <v>127</v>
      </c>
      <c r="AA43" s="180" t="s">
        <v>156</v>
      </c>
      <c r="AB43" s="180">
        <v>242.00000000000006</v>
      </c>
      <c r="AC43" s="180" t="s">
        <v>127</v>
      </c>
      <c r="AD43" s="180" t="s">
        <v>156</v>
      </c>
      <c r="AE43" s="180">
        <v>242.00000000000006</v>
      </c>
      <c r="AF43" s="180"/>
      <c r="AG43" s="188">
        <v>18</v>
      </c>
      <c r="AH43" s="176">
        <v>13</v>
      </c>
      <c r="AI43" s="176">
        <v>7.5</v>
      </c>
      <c r="AJ43" s="189">
        <v>115</v>
      </c>
      <c r="AM43" s="177" t="s">
        <v>154</v>
      </c>
      <c r="AN43" s="177">
        <v>50</v>
      </c>
      <c r="AO43" s="177">
        <v>55</v>
      </c>
      <c r="AQ43" s="177" t="s">
        <v>569</v>
      </c>
      <c r="AR43" s="177">
        <v>600</v>
      </c>
      <c r="AS43" s="177">
        <v>255</v>
      </c>
      <c r="AU43" s="177" t="s">
        <v>11</v>
      </c>
      <c r="AV43" s="177">
        <v>400</v>
      </c>
      <c r="AW43" s="177">
        <v>0</v>
      </c>
      <c r="AZ43" s="177" t="s">
        <v>154</v>
      </c>
      <c r="BA43" s="177">
        <v>664</v>
      </c>
      <c r="BB43" s="177">
        <v>540</v>
      </c>
      <c r="BJ43" s="191" t="s">
        <v>214</v>
      </c>
      <c r="BK43" s="192"/>
      <c r="BL43" s="192"/>
      <c r="BM43" s="192"/>
      <c r="BN43" s="192"/>
      <c r="BO43" s="192"/>
      <c r="BP43" s="193"/>
      <c r="BS43" s="194" t="s">
        <v>215</v>
      </c>
      <c r="BT43" s="192"/>
      <c r="BU43" s="192"/>
      <c r="BV43" s="192"/>
      <c r="BW43" s="193"/>
      <c r="CA43" s="176"/>
      <c r="CM43" s="120" t="s">
        <v>463</v>
      </c>
      <c r="CN43" s="177" t="s">
        <v>464</v>
      </c>
    </row>
    <row r="44" spans="1:92" ht="13.5" thickBot="1">
      <c r="A44" s="164" t="s">
        <v>72</v>
      </c>
      <c r="B44" s="164" t="s">
        <v>73</v>
      </c>
      <c r="C44" s="173" t="s">
        <v>82</v>
      </c>
      <c r="D44" s="166">
        <v>0</v>
      </c>
      <c r="E44" s="166">
        <v>0</v>
      </c>
      <c r="F44" s="166">
        <v>0</v>
      </c>
      <c r="G44" s="176"/>
      <c r="H44" s="176"/>
      <c r="I44" s="176"/>
      <c r="J44" s="176"/>
      <c r="K44" s="176"/>
      <c r="L44" s="176"/>
      <c r="M44" s="176"/>
      <c r="N44" s="176"/>
      <c r="O44" s="176"/>
      <c r="Z44" s="180" t="s">
        <v>128</v>
      </c>
      <c r="AA44" s="180" t="s">
        <v>156</v>
      </c>
      <c r="AB44" s="180">
        <v>242.00000000000006</v>
      </c>
      <c r="AC44" s="180" t="s">
        <v>128</v>
      </c>
      <c r="AD44" s="180" t="s">
        <v>156</v>
      </c>
      <c r="AE44" s="180">
        <v>242.00000000000006</v>
      </c>
      <c r="AF44" s="180"/>
      <c r="AG44" s="188">
        <v>20</v>
      </c>
      <c r="AH44" s="176">
        <v>17</v>
      </c>
      <c r="AI44" s="176">
        <v>10</v>
      </c>
      <c r="AJ44" s="189">
        <v>128</v>
      </c>
      <c r="AM44" s="177" t="s">
        <v>69</v>
      </c>
      <c r="AN44" s="177">
        <v>55</v>
      </c>
      <c r="AO44" s="177">
        <v>60</v>
      </c>
      <c r="AQ44" s="177" t="s">
        <v>10</v>
      </c>
      <c r="AR44" s="177" t="s">
        <v>226</v>
      </c>
      <c r="AS44" s="177">
        <v>150</v>
      </c>
      <c r="AU44" s="177" t="s">
        <v>94</v>
      </c>
      <c r="AV44" s="177">
        <v>500</v>
      </c>
      <c r="AW44" s="177">
        <v>0</v>
      </c>
      <c r="AZ44" s="177" t="s">
        <v>69</v>
      </c>
      <c r="BA44" s="177">
        <v>666</v>
      </c>
      <c r="BB44" s="177">
        <v>650</v>
      </c>
      <c r="BI44" s="120"/>
      <c r="BJ44" s="195"/>
      <c r="BK44" s="196" t="s">
        <v>88</v>
      </c>
      <c r="BL44" s="197"/>
      <c r="BM44" s="198"/>
      <c r="BN44" s="197" t="s">
        <v>87</v>
      </c>
      <c r="BO44" s="197"/>
      <c r="BP44" s="198"/>
      <c r="BS44" s="195"/>
      <c r="BT44" s="196" t="s">
        <v>88</v>
      </c>
      <c r="BU44" s="198"/>
      <c r="BV44" s="198"/>
      <c r="BW44" s="197" t="s">
        <v>87</v>
      </c>
      <c r="BX44" s="198"/>
      <c r="CE44" s="177" t="s">
        <v>456</v>
      </c>
      <c r="CM44" s="120" t="s">
        <v>465</v>
      </c>
      <c r="CN44" s="177" t="s">
        <v>466</v>
      </c>
    </row>
    <row r="45" spans="1:92">
      <c r="A45" s="168">
        <f>A6</f>
        <v>0</v>
      </c>
      <c r="B45" s="174">
        <f>B6</f>
        <v>0</v>
      </c>
      <c r="C45" s="173" t="s">
        <v>84</v>
      </c>
      <c r="D45" s="166">
        <v>0</v>
      </c>
      <c r="E45" s="173" t="s">
        <v>83</v>
      </c>
      <c r="F45" s="166">
        <v>0</v>
      </c>
      <c r="G45" s="176"/>
      <c r="H45" s="176"/>
      <c r="I45" s="176"/>
      <c r="J45" s="176"/>
      <c r="K45" s="176"/>
      <c r="L45" s="176"/>
      <c r="M45" s="176"/>
      <c r="N45" s="176"/>
      <c r="O45" s="176"/>
      <c r="Z45" s="180" t="s">
        <v>786</v>
      </c>
      <c r="AA45" s="180" t="s">
        <v>156</v>
      </c>
      <c r="AB45" s="180">
        <v>242.00000000000006</v>
      </c>
      <c r="AC45" s="180" t="s">
        <v>786</v>
      </c>
      <c r="AD45" s="180" t="s">
        <v>156</v>
      </c>
      <c r="AE45" s="180">
        <v>242.00000000000006</v>
      </c>
      <c r="AF45" s="180"/>
      <c r="AG45" s="188">
        <v>22</v>
      </c>
      <c r="AH45" s="176">
        <v>22</v>
      </c>
      <c r="AI45" s="176">
        <v>15</v>
      </c>
      <c r="AJ45" s="189">
        <v>211</v>
      </c>
      <c r="AM45" s="177" t="s">
        <v>155</v>
      </c>
      <c r="AN45" s="177">
        <v>60</v>
      </c>
      <c r="AO45" s="177">
        <v>70</v>
      </c>
      <c r="AQ45" s="177" t="s">
        <v>11</v>
      </c>
      <c r="AR45" s="177" t="s">
        <v>227</v>
      </c>
      <c r="AS45" s="177">
        <v>246</v>
      </c>
      <c r="AU45" s="177" t="s">
        <v>207</v>
      </c>
      <c r="AV45" s="177">
        <v>600</v>
      </c>
      <c r="AW45" s="177">
        <v>0</v>
      </c>
      <c r="AZ45" s="177" t="s">
        <v>155</v>
      </c>
      <c r="BA45" s="177">
        <v>706</v>
      </c>
      <c r="BB45" s="177">
        <v>700</v>
      </c>
      <c r="BI45" s="120"/>
      <c r="BJ45" s="195"/>
      <c r="BK45" s="199" t="s">
        <v>41</v>
      </c>
      <c r="BL45" s="168" t="s">
        <v>42</v>
      </c>
      <c r="BM45" s="200" t="s">
        <v>43</v>
      </c>
      <c r="BN45" s="168" t="s">
        <v>41</v>
      </c>
      <c r="BO45" s="168" t="s">
        <v>42</v>
      </c>
      <c r="BP45" s="200" t="s">
        <v>43</v>
      </c>
      <c r="BS45" s="199"/>
      <c r="BT45" s="199" t="s">
        <v>41</v>
      </c>
      <c r="BU45" s="200" t="s">
        <v>42</v>
      </c>
      <c r="BV45" s="200" t="s">
        <v>31</v>
      </c>
      <c r="BW45" s="168" t="s">
        <v>41</v>
      </c>
      <c r="BX45" s="200" t="s">
        <v>42</v>
      </c>
      <c r="BY45" s="177" t="s">
        <v>31</v>
      </c>
      <c r="CE45" s="177" t="s">
        <v>458</v>
      </c>
      <c r="CM45" s="120" t="s">
        <v>467</v>
      </c>
      <c r="CN45" s="177" t="s">
        <v>468</v>
      </c>
    </row>
    <row r="46" spans="1:92">
      <c r="A46" s="201" t="s">
        <v>48</v>
      </c>
      <c r="B46" s="202"/>
      <c r="C46" s="168"/>
      <c r="D46" s="203" t="s">
        <v>49</v>
      </c>
      <c r="E46" s="204"/>
      <c r="F46" s="204"/>
      <c r="G46" s="176"/>
      <c r="H46" s="176"/>
      <c r="I46" s="176"/>
      <c r="J46" s="176"/>
      <c r="K46" s="176"/>
      <c r="L46" s="176"/>
      <c r="M46" s="176"/>
      <c r="N46" s="176"/>
      <c r="O46" s="176"/>
      <c r="U46" s="180" t="s">
        <v>4</v>
      </c>
      <c r="V46" s="177" t="s">
        <v>41</v>
      </c>
      <c r="W46" s="177" t="s">
        <v>42</v>
      </c>
      <c r="X46" s="177" t="s">
        <v>43</v>
      </c>
      <c r="Z46" s="180" t="s">
        <v>130</v>
      </c>
      <c r="AA46" s="180" t="s">
        <v>156</v>
      </c>
      <c r="AB46" s="180">
        <v>242.00000000000006</v>
      </c>
      <c r="AC46" s="180" t="s">
        <v>130</v>
      </c>
      <c r="AD46" s="180" t="s">
        <v>156</v>
      </c>
      <c r="AE46" s="180">
        <v>242.00000000000006</v>
      </c>
      <c r="AF46" s="180"/>
      <c r="AG46" s="188">
        <v>25</v>
      </c>
      <c r="AH46" s="176">
        <v>30</v>
      </c>
      <c r="AI46" s="176">
        <v>20</v>
      </c>
      <c r="AJ46" s="189">
        <v>225</v>
      </c>
      <c r="AM46" s="177" t="s">
        <v>195</v>
      </c>
      <c r="AN46" s="177">
        <v>70</v>
      </c>
      <c r="AO46" s="177">
        <v>80</v>
      </c>
      <c r="AQ46" s="177" t="s">
        <v>94</v>
      </c>
      <c r="AR46" s="177" t="s">
        <v>228</v>
      </c>
      <c r="AS46" s="177">
        <v>500</v>
      </c>
      <c r="AU46" s="177" t="s">
        <v>208</v>
      </c>
      <c r="AV46" s="177">
        <v>800</v>
      </c>
      <c r="AW46" s="177">
        <v>0</v>
      </c>
      <c r="AZ46" s="177" t="s">
        <v>195</v>
      </c>
      <c r="BA46" s="177">
        <v>724</v>
      </c>
      <c r="BB46" s="177">
        <v>670</v>
      </c>
      <c r="BI46" s="120"/>
      <c r="BJ46" s="175" t="s">
        <v>512</v>
      </c>
      <c r="BK46" s="199">
        <v>0</v>
      </c>
      <c r="BL46" s="168">
        <v>0</v>
      </c>
      <c r="BM46" s="200">
        <v>0</v>
      </c>
      <c r="BN46" s="199">
        <v>0</v>
      </c>
      <c r="BO46" s="168">
        <v>0</v>
      </c>
      <c r="BP46" s="200">
        <v>0</v>
      </c>
      <c r="BS46" s="175" t="s">
        <v>512</v>
      </c>
      <c r="BT46" s="177">
        <v>65</v>
      </c>
      <c r="BU46" s="177">
        <v>64</v>
      </c>
      <c r="BV46" s="177">
        <v>446</v>
      </c>
      <c r="BW46" s="177">
        <v>100</v>
      </c>
      <c r="BX46" s="177">
        <v>64</v>
      </c>
      <c r="BY46" s="177">
        <v>637</v>
      </c>
      <c r="CE46" s="177" t="s">
        <v>460</v>
      </c>
      <c r="CM46" s="120" t="s">
        <v>469</v>
      </c>
      <c r="CN46" s="177" t="s">
        <v>470</v>
      </c>
    </row>
    <row r="47" spans="1:92">
      <c r="A47" s="176"/>
      <c r="B47" s="164" t="s">
        <v>0</v>
      </c>
      <c r="C47" s="164" t="s">
        <v>50</v>
      </c>
      <c r="D47" s="164"/>
      <c r="E47" s="164" t="s">
        <v>0</v>
      </c>
      <c r="F47" s="164" t="s">
        <v>50</v>
      </c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U47" s="180" t="s">
        <v>58</v>
      </c>
      <c r="V47" s="177">
        <v>31</v>
      </c>
      <c r="W47" s="177">
        <v>29</v>
      </c>
      <c r="X47" s="177">
        <v>32</v>
      </c>
      <c r="Z47" s="180" t="s">
        <v>131</v>
      </c>
      <c r="AA47" s="180" t="s">
        <v>156</v>
      </c>
      <c r="AB47" s="180">
        <v>242.00000000000006</v>
      </c>
      <c r="AC47" s="180" t="s">
        <v>131</v>
      </c>
      <c r="AD47" s="180" t="s">
        <v>156</v>
      </c>
      <c r="AE47" s="180">
        <v>242.00000000000006</v>
      </c>
      <c r="AF47" s="180"/>
      <c r="AG47" s="188">
        <v>28</v>
      </c>
      <c r="AH47" s="176">
        <v>50</v>
      </c>
      <c r="AI47" s="176">
        <v>25</v>
      </c>
      <c r="AJ47" s="189">
        <v>250</v>
      </c>
      <c r="AM47" s="177" t="s">
        <v>196</v>
      </c>
      <c r="AN47" s="177">
        <v>80</v>
      </c>
      <c r="AO47" s="177">
        <v>90</v>
      </c>
      <c r="AQ47" s="177" t="s">
        <v>207</v>
      </c>
      <c r="AR47" s="177" t="s">
        <v>229</v>
      </c>
      <c r="AS47" s="177">
        <v>600</v>
      </c>
      <c r="AU47" s="177" t="s">
        <v>150</v>
      </c>
      <c r="AV47" s="177">
        <v>0</v>
      </c>
      <c r="AW47" s="177">
        <v>0</v>
      </c>
      <c r="AZ47" s="177" t="s">
        <v>196</v>
      </c>
      <c r="BA47" s="177">
        <v>726</v>
      </c>
      <c r="BB47" s="177">
        <v>700</v>
      </c>
      <c r="BI47" s="120"/>
      <c r="BJ47" s="175" t="s">
        <v>513</v>
      </c>
      <c r="BK47" s="199">
        <v>0</v>
      </c>
      <c r="BL47" s="168">
        <v>0</v>
      </c>
      <c r="BM47" s="200">
        <v>0</v>
      </c>
      <c r="BN47" s="199">
        <v>0</v>
      </c>
      <c r="BO47" s="168">
        <v>0</v>
      </c>
      <c r="BP47" s="200">
        <v>0</v>
      </c>
      <c r="BS47" s="175" t="s">
        <v>513</v>
      </c>
      <c r="BT47" s="177">
        <v>76</v>
      </c>
      <c r="BU47" s="177">
        <v>64</v>
      </c>
      <c r="BV47" s="177">
        <v>684</v>
      </c>
      <c r="BW47" s="177">
        <v>114</v>
      </c>
      <c r="BX47" s="177">
        <v>64</v>
      </c>
      <c r="BY47" s="177">
        <v>916</v>
      </c>
      <c r="CE47" s="177" t="s">
        <v>462</v>
      </c>
      <c r="CM47" s="120" t="s">
        <v>471</v>
      </c>
      <c r="CN47" s="177" t="s">
        <v>472</v>
      </c>
    </row>
    <row r="48" spans="1:92">
      <c r="A48" s="164" t="s">
        <v>51</v>
      </c>
      <c r="B48" s="166">
        <f>C41*(D43-D41)/D43*(F43-E41)/F43</f>
        <v>1923.3218112432576</v>
      </c>
      <c r="C48" s="205">
        <f>-B48/2.2046</f>
        <v>-872.41305055033001</v>
      </c>
      <c r="D48" s="164" t="s">
        <v>51</v>
      </c>
      <c r="E48" s="166">
        <f>C42*(D43-D42)/D43*(F43-E42)/F43</f>
        <v>1906.9984524750796</v>
      </c>
      <c r="F48" s="205">
        <f>-E48/2.2046</f>
        <v>-865.0088235848134</v>
      </c>
      <c r="G48" s="206">
        <f>B48/$C$41</f>
        <v>0.19863951870264288</v>
      </c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U48" s="180" t="s">
        <v>85</v>
      </c>
      <c r="V48" s="177">
        <v>34</v>
      </c>
      <c r="W48" s="177">
        <v>33</v>
      </c>
      <c r="X48" s="177">
        <v>32</v>
      </c>
      <c r="Z48" s="180" t="s">
        <v>132</v>
      </c>
      <c r="AA48" s="180" t="s">
        <v>156</v>
      </c>
      <c r="AB48" s="180">
        <v>242.00000000000006</v>
      </c>
      <c r="AC48" s="180" t="s">
        <v>132</v>
      </c>
      <c r="AD48" s="180" t="s">
        <v>156</v>
      </c>
      <c r="AE48" s="180">
        <v>242.00000000000006</v>
      </c>
      <c r="AF48" s="180"/>
      <c r="AG48" s="188">
        <v>32</v>
      </c>
      <c r="AH48" s="176">
        <v>59</v>
      </c>
      <c r="AI48" s="176">
        <v>30</v>
      </c>
      <c r="AJ48" s="189">
        <v>300</v>
      </c>
      <c r="AM48" s="177" t="s">
        <v>197</v>
      </c>
      <c r="AN48" s="177">
        <v>90</v>
      </c>
      <c r="AO48" s="177">
        <v>100</v>
      </c>
      <c r="AQ48" s="177" t="s">
        <v>208</v>
      </c>
      <c r="AR48" s="177" t="s">
        <v>230</v>
      </c>
      <c r="AS48" s="177">
        <v>800</v>
      </c>
      <c r="AZ48" s="177" t="s">
        <v>197</v>
      </c>
      <c r="BA48" s="177">
        <v>784</v>
      </c>
      <c r="BB48" s="177">
        <v>720</v>
      </c>
      <c r="BI48" s="120"/>
      <c r="BJ48" s="175" t="s">
        <v>514</v>
      </c>
      <c r="BK48" s="199">
        <v>0</v>
      </c>
      <c r="BL48" s="168">
        <v>0</v>
      </c>
      <c r="BM48" s="200">
        <v>0</v>
      </c>
      <c r="BN48" s="199">
        <v>0</v>
      </c>
      <c r="BO48" s="168">
        <v>0</v>
      </c>
      <c r="BP48" s="200">
        <v>0</v>
      </c>
      <c r="BS48" s="175" t="s">
        <v>514</v>
      </c>
      <c r="BT48" s="177">
        <v>90</v>
      </c>
      <c r="BU48" s="177">
        <v>64</v>
      </c>
      <c r="BV48" s="177">
        <v>1175</v>
      </c>
      <c r="BW48" s="177">
        <v>135</v>
      </c>
      <c r="BX48" s="177">
        <v>64</v>
      </c>
      <c r="BY48" s="177">
        <v>1551</v>
      </c>
      <c r="CE48" s="177" t="s">
        <v>464</v>
      </c>
      <c r="CM48" s="120" t="s">
        <v>473</v>
      </c>
      <c r="CN48" s="177" t="s">
        <v>474</v>
      </c>
    </row>
    <row r="49" spans="1:92">
      <c r="A49" s="164" t="s">
        <v>52</v>
      </c>
      <c r="B49" s="166">
        <f>C41*(D43-D41)/D43*E41/F43</f>
        <v>2349.3338057045416</v>
      </c>
      <c r="C49" s="205">
        <f>-B49/2.2046</f>
        <v>-1065.6508235981773</v>
      </c>
      <c r="D49" s="164" t="s">
        <v>52</v>
      </c>
      <c r="E49" s="166">
        <f>C42*(D43-D42)/D43*E42/F43</f>
        <v>2340.1153043144113</v>
      </c>
      <c r="F49" s="205">
        <f>-E49/2.2046</f>
        <v>-1061.4693387981545</v>
      </c>
      <c r="G49" s="206">
        <f>B49/$C$41</f>
        <v>0.24263778100417693</v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U49" s="180" t="s">
        <v>56</v>
      </c>
      <c r="V49" s="177">
        <v>40</v>
      </c>
      <c r="W49" s="177">
        <v>33</v>
      </c>
      <c r="X49" s="177">
        <v>33</v>
      </c>
      <c r="Z49" s="180" t="s">
        <v>133</v>
      </c>
      <c r="AA49" s="180" t="s">
        <v>156</v>
      </c>
      <c r="AB49" s="180">
        <v>242.00000000000006</v>
      </c>
      <c r="AC49" s="180" t="s">
        <v>133</v>
      </c>
      <c r="AD49" s="180" t="s">
        <v>156</v>
      </c>
      <c r="AE49" s="180">
        <v>242.00000000000006</v>
      </c>
      <c r="AF49" s="180"/>
      <c r="AG49" s="188">
        <v>36</v>
      </c>
      <c r="AH49" s="176">
        <v>74</v>
      </c>
      <c r="AI49" s="176" t="s">
        <v>156</v>
      </c>
      <c r="AJ49" s="189">
        <v>1</v>
      </c>
      <c r="AM49" s="177" t="s">
        <v>57</v>
      </c>
      <c r="AN49" s="177">
        <v>100</v>
      </c>
      <c r="AO49" s="177">
        <v>110</v>
      </c>
      <c r="AQ49" s="177" t="s">
        <v>544</v>
      </c>
      <c r="AR49" s="177" t="s">
        <v>570</v>
      </c>
      <c r="AS49" s="177">
        <v>750</v>
      </c>
      <c r="AZ49" s="177" t="s">
        <v>57</v>
      </c>
      <c r="BA49" s="177">
        <v>786</v>
      </c>
      <c r="BB49" s="177">
        <v>880</v>
      </c>
      <c r="BI49" s="120"/>
      <c r="BJ49" s="175" t="s">
        <v>515</v>
      </c>
      <c r="BK49" s="199">
        <v>0</v>
      </c>
      <c r="BL49" s="168">
        <v>0</v>
      </c>
      <c r="BM49" s="200">
        <v>0</v>
      </c>
      <c r="BN49" s="199">
        <v>0</v>
      </c>
      <c r="BO49" s="168">
        <v>0</v>
      </c>
      <c r="BP49" s="200">
        <v>0</v>
      </c>
      <c r="BS49" s="175" t="s">
        <v>515</v>
      </c>
      <c r="BT49" s="177">
        <v>132</v>
      </c>
      <c r="BU49" s="177">
        <v>88</v>
      </c>
      <c r="BV49" s="177">
        <v>1950</v>
      </c>
      <c r="BW49" s="177">
        <v>200</v>
      </c>
      <c r="BX49" s="177">
        <v>88</v>
      </c>
      <c r="BY49" s="177">
        <v>2944</v>
      </c>
      <c r="CE49" s="177" t="s">
        <v>466</v>
      </c>
      <c r="CM49" s="120" t="s">
        <v>475</v>
      </c>
      <c r="CN49" s="177" t="s">
        <v>476</v>
      </c>
    </row>
    <row r="50" spans="1:92">
      <c r="A50" s="164" t="s">
        <v>53</v>
      </c>
      <c r="B50" s="166">
        <f>C41*D41/D43*(F43-E41)/F43</f>
        <v>2435.2115022108746</v>
      </c>
      <c r="C50" s="205">
        <f>-B50/2.2046</f>
        <v>-1104.6046911960784</v>
      </c>
      <c r="D50" s="164" t="s">
        <v>53</v>
      </c>
      <c r="E50" s="166">
        <f>C42*D42/D43*(F43-E42)/F43</f>
        <v>2494.4144233646998</v>
      </c>
      <c r="F50" s="205">
        <f>-E50/2.2046</f>
        <v>-1131.4589600674497</v>
      </c>
      <c r="G50" s="206">
        <f>B50/$C$41</f>
        <v>0.25150717779549325</v>
      </c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U50" s="180" t="s">
        <v>86</v>
      </c>
      <c r="V50" s="177">
        <v>60</v>
      </c>
      <c r="W50" s="177">
        <v>44</v>
      </c>
      <c r="X50" s="177">
        <v>45</v>
      </c>
      <c r="Z50" s="180" t="s">
        <v>134</v>
      </c>
      <c r="AA50" s="180" t="s">
        <v>156</v>
      </c>
      <c r="AB50" s="180">
        <v>242.00000000000006</v>
      </c>
      <c r="AC50" s="180" t="s">
        <v>134</v>
      </c>
      <c r="AD50" s="180" t="s">
        <v>156</v>
      </c>
      <c r="AE50" s="180">
        <v>242.00000000000006</v>
      </c>
      <c r="AF50" s="180"/>
      <c r="AG50" s="207">
        <v>40</v>
      </c>
      <c r="AH50" s="208">
        <v>114</v>
      </c>
      <c r="AI50" s="208"/>
      <c r="AJ50" s="209"/>
      <c r="AM50" s="177" t="s">
        <v>198</v>
      </c>
      <c r="AN50" s="177">
        <v>110</v>
      </c>
      <c r="AO50" s="177">
        <v>120</v>
      </c>
      <c r="AQ50" s="177" t="s">
        <v>547</v>
      </c>
      <c r="AR50" s="177" t="s">
        <v>790</v>
      </c>
      <c r="AS50" s="177">
        <v>225</v>
      </c>
      <c r="AZ50" s="177" t="s">
        <v>198</v>
      </c>
      <c r="BA50" s="177">
        <v>7812</v>
      </c>
      <c r="BB50" s="177">
        <v>1900</v>
      </c>
      <c r="BI50" s="120"/>
      <c r="BJ50" s="210" t="s">
        <v>516</v>
      </c>
      <c r="BK50" s="199">
        <v>0</v>
      </c>
      <c r="BL50" s="168">
        <v>0</v>
      </c>
      <c r="BM50" s="200">
        <v>0</v>
      </c>
      <c r="BN50" s="199">
        <v>0</v>
      </c>
      <c r="BO50" s="168">
        <v>0</v>
      </c>
      <c r="BP50" s="200">
        <v>0</v>
      </c>
      <c r="BS50" s="210" t="s">
        <v>516</v>
      </c>
      <c r="BT50" s="177">
        <v>150</v>
      </c>
      <c r="BU50" s="177">
        <v>100</v>
      </c>
      <c r="BV50" s="177">
        <v>4095</v>
      </c>
      <c r="BW50" s="177">
        <v>232</v>
      </c>
      <c r="BX50" s="177">
        <v>100</v>
      </c>
      <c r="BY50" s="177">
        <v>4950</v>
      </c>
      <c r="CE50" s="177" t="s">
        <v>468</v>
      </c>
      <c r="CM50" s="120" t="s">
        <v>477</v>
      </c>
      <c r="CN50" s="177" t="s">
        <v>478</v>
      </c>
    </row>
    <row r="51" spans="1:92">
      <c r="A51" s="164" t="s">
        <v>54</v>
      </c>
      <c r="B51" s="166">
        <f>C41*D41/D43*E41/F43</f>
        <v>2974.6060553882799</v>
      </c>
      <c r="C51" s="205">
        <f>-B51/2.2046</f>
        <v>-1349.2724554968156</v>
      </c>
      <c r="D51" s="164" t="s">
        <v>54</v>
      </c>
      <c r="E51" s="166">
        <f>C42*D42/D43*E42/F43</f>
        <v>3060.9449943927634</v>
      </c>
      <c r="F51" s="205">
        <f>-E51/2.2046</f>
        <v>-1388.4355413194064</v>
      </c>
      <c r="G51" s="206">
        <f>B51/$C$41</f>
        <v>0.30721552249768691</v>
      </c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U51" s="180" t="s">
        <v>103</v>
      </c>
      <c r="V51" s="177">
        <v>75</v>
      </c>
      <c r="W51" s="177">
        <v>60</v>
      </c>
      <c r="X51" s="177">
        <v>54</v>
      </c>
      <c r="Z51" s="177" t="s">
        <v>399</v>
      </c>
      <c r="AA51" s="180" t="s">
        <v>156</v>
      </c>
      <c r="AB51" s="180">
        <v>242.00000000000006</v>
      </c>
      <c r="AC51" s="177" t="s">
        <v>399</v>
      </c>
      <c r="AD51" s="180" t="s">
        <v>156</v>
      </c>
      <c r="AE51" s="180">
        <v>242.00000000000006</v>
      </c>
      <c r="AF51" s="180"/>
      <c r="AG51" s="180"/>
      <c r="AH51" s="180"/>
      <c r="AM51" s="177" t="s">
        <v>59</v>
      </c>
      <c r="AN51" s="177">
        <v>120</v>
      </c>
      <c r="AO51" s="177">
        <v>130</v>
      </c>
      <c r="AQ51" s="177" t="s">
        <v>599</v>
      </c>
      <c r="AR51" s="177" t="s">
        <v>600</v>
      </c>
      <c r="AS51" s="177">
        <v>1000</v>
      </c>
      <c r="AZ51" s="177" t="s">
        <v>59</v>
      </c>
      <c r="BA51" s="177">
        <v>844</v>
      </c>
      <c r="BB51" s="177">
        <v>810</v>
      </c>
      <c r="BE51" s="176"/>
      <c r="BF51" s="211"/>
      <c r="BI51" s="120"/>
      <c r="BJ51" s="210" t="s">
        <v>517</v>
      </c>
      <c r="BK51" s="168">
        <f>BT51+BQ51</f>
        <v>81</v>
      </c>
      <c r="BL51" s="211">
        <v>38</v>
      </c>
      <c r="BM51" s="212">
        <v>52</v>
      </c>
      <c r="BN51" s="168">
        <f t="shared" ref="BN51:BN63" si="4">BW51+BQ51</f>
        <v>116</v>
      </c>
      <c r="BO51" s="168">
        <v>38</v>
      </c>
      <c r="BP51" s="200">
        <v>52</v>
      </c>
      <c r="BQ51" s="177">
        <v>16</v>
      </c>
      <c r="BS51" s="210" t="s">
        <v>517</v>
      </c>
      <c r="BT51" s="177">
        <v>65</v>
      </c>
      <c r="BU51" s="177">
        <v>64</v>
      </c>
      <c r="BV51" s="177">
        <v>446</v>
      </c>
      <c r="BW51" s="177">
        <v>100</v>
      </c>
      <c r="BX51" s="177">
        <v>64</v>
      </c>
      <c r="BY51" s="168">
        <v>637</v>
      </c>
      <c r="CE51" s="177" t="s">
        <v>470</v>
      </c>
      <c r="CM51" s="120" t="s">
        <v>479</v>
      </c>
      <c r="CN51" s="177" t="s">
        <v>480</v>
      </c>
    </row>
    <row r="52" spans="1:92">
      <c r="A52" s="176"/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U52" s="176" t="s">
        <v>61</v>
      </c>
      <c r="V52" s="177">
        <v>34</v>
      </c>
      <c r="W52" s="177">
        <v>33</v>
      </c>
      <c r="X52" s="177">
        <v>32</v>
      </c>
      <c r="Z52" s="180" t="s">
        <v>135</v>
      </c>
      <c r="AA52" s="180" t="s">
        <v>156</v>
      </c>
      <c r="AB52" s="180">
        <v>242.00000000000006</v>
      </c>
      <c r="AC52" s="180" t="s">
        <v>135</v>
      </c>
      <c r="AD52" s="180" t="s">
        <v>156</v>
      </c>
      <c r="AE52" s="180">
        <v>242.00000000000006</v>
      </c>
      <c r="AF52" s="180"/>
      <c r="AG52" s="180"/>
      <c r="AH52" s="180"/>
      <c r="AM52" s="177" t="s">
        <v>199</v>
      </c>
      <c r="AN52" s="177">
        <v>130</v>
      </c>
      <c r="AO52" s="177">
        <v>140</v>
      </c>
      <c r="AQ52" s="177" t="s">
        <v>571</v>
      </c>
      <c r="AR52" s="177" t="s">
        <v>572</v>
      </c>
      <c r="AS52" s="177">
        <v>1000</v>
      </c>
      <c r="AZ52" s="177" t="s">
        <v>199</v>
      </c>
      <c r="BA52" s="177">
        <v>846</v>
      </c>
      <c r="BB52" s="177">
        <v>1050</v>
      </c>
      <c r="BE52" s="176"/>
      <c r="BF52" s="211"/>
      <c r="BI52" s="120"/>
      <c r="BJ52" s="210" t="s">
        <v>518</v>
      </c>
      <c r="BK52" s="168">
        <f>BT52+BQ52</f>
        <v>90</v>
      </c>
      <c r="BL52" s="211">
        <v>38</v>
      </c>
      <c r="BM52" s="212">
        <v>52</v>
      </c>
      <c r="BN52" s="168">
        <f t="shared" si="4"/>
        <v>125</v>
      </c>
      <c r="BO52" s="168">
        <v>38</v>
      </c>
      <c r="BP52" s="200">
        <v>52</v>
      </c>
      <c r="BQ52" s="177">
        <v>25</v>
      </c>
      <c r="BS52" s="210" t="s">
        <v>518</v>
      </c>
      <c r="BT52" s="177">
        <v>65</v>
      </c>
      <c r="BU52" s="177">
        <v>64</v>
      </c>
      <c r="BV52" s="177">
        <v>446</v>
      </c>
      <c r="BW52" s="177">
        <v>100</v>
      </c>
      <c r="BX52" s="177">
        <v>64</v>
      </c>
      <c r="BY52" s="168">
        <v>637</v>
      </c>
      <c r="CE52" s="177" t="s">
        <v>472</v>
      </c>
      <c r="CM52" s="120" t="s">
        <v>481</v>
      </c>
      <c r="CN52" s="177" t="s">
        <v>482</v>
      </c>
    </row>
    <row r="53" spans="1:92">
      <c r="A53" s="176"/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U53" s="176" t="s">
        <v>66</v>
      </c>
      <c r="V53" s="177">
        <v>40</v>
      </c>
      <c r="W53" s="177">
        <v>33</v>
      </c>
      <c r="X53" s="177">
        <v>33</v>
      </c>
      <c r="Z53" s="180" t="s">
        <v>136</v>
      </c>
      <c r="AA53" s="180" t="s">
        <v>156</v>
      </c>
      <c r="AB53" s="180">
        <v>242.00000000000006</v>
      </c>
      <c r="AC53" s="180" t="s">
        <v>136</v>
      </c>
      <c r="AD53" s="180" t="s">
        <v>156</v>
      </c>
      <c r="AE53" s="180">
        <v>242.00000000000006</v>
      </c>
      <c r="AF53" s="180"/>
      <c r="AG53" s="180"/>
      <c r="AH53" s="180"/>
      <c r="AM53" s="177" t="s">
        <v>200</v>
      </c>
      <c r="AN53" s="177">
        <v>140</v>
      </c>
      <c r="AO53" s="177">
        <v>150</v>
      </c>
      <c r="AQ53" s="177" t="s">
        <v>13</v>
      </c>
      <c r="AR53" s="177" t="s">
        <v>573</v>
      </c>
      <c r="AS53" s="177">
        <v>1200</v>
      </c>
      <c r="AZ53" s="177" t="s">
        <v>200</v>
      </c>
      <c r="BA53" s="177">
        <v>8412</v>
      </c>
      <c r="BB53" s="177">
        <v>2250</v>
      </c>
      <c r="BE53" s="176"/>
      <c r="BF53" s="211"/>
      <c r="BI53" s="120"/>
      <c r="BJ53" s="210" t="s">
        <v>519</v>
      </c>
      <c r="BK53" s="168">
        <f t="shared" ref="BK53:BK80" si="5">BT53+BQ53</f>
        <v>92</v>
      </c>
      <c r="BL53" s="211">
        <v>38</v>
      </c>
      <c r="BM53" s="212">
        <v>52</v>
      </c>
      <c r="BN53" s="168">
        <f t="shared" si="4"/>
        <v>130</v>
      </c>
      <c r="BO53" s="168">
        <v>38</v>
      </c>
      <c r="BP53" s="200">
        <v>52</v>
      </c>
      <c r="BQ53" s="177">
        <v>16</v>
      </c>
      <c r="BS53" s="210" t="s">
        <v>519</v>
      </c>
      <c r="BT53" s="177">
        <v>76</v>
      </c>
      <c r="BU53" s="177">
        <v>64</v>
      </c>
      <c r="BV53" s="177">
        <v>684</v>
      </c>
      <c r="BW53" s="177">
        <v>114</v>
      </c>
      <c r="BX53" s="177">
        <v>64</v>
      </c>
      <c r="BY53" s="168">
        <v>916</v>
      </c>
      <c r="CE53" s="177" t="s">
        <v>474</v>
      </c>
      <c r="CM53" s="120" t="s">
        <v>483</v>
      </c>
      <c r="CN53" s="177" t="s">
        <v>484</v>
      </c>
    </row>
    <row r="54" spans="1:92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U54" s="176" t="s">
        <v>60</v>
      </c>
      <c r="V54" s="177">
        <v>60</v>
      </c>
      <c r="W54" s="177">
        <v>44</v>
      </c>
      <c r="X54" s="177">
        <v>45</v>
      </c>
      <c r="Z54" s="180" t="s">
        <v>137</v>
      </c>
      <c r="AA54" s="180" t="s">
        <v>156</v>
      </c>
      <c r="AB54" s="180">
        <v>242.00000000000006</v>
      </c>
      <c r="AC54" s="180" t="s">
        <v>137</v>
      </c>
      <c r="AD54" s="180" t="s">
        <v>156</v>
      </c>
      <c r="AE54" s="180">
        <v>242.00000000000006</v>
      </c>
      <c r="AF54" s="180"/>
      <c r="AG54" s="180"/>
      <c r="AH54" s="180"/>
      <c r="AM54" s="177" t="s">
        <v>68</v>
      </c>
      <c r="AN54" s="177">
        <v>150</v>
      </c>
      <c r="AO54" s="177">
        <v>160</v>
      </c>
      <c r="AQ54" s="177" t="s">
        <v>14</v>
      </c>
      <c r="AR54" s="177" t="s">
        <v>574</v>
      </c>
      <c r="AS54" s="177">
        <v>1350</v>
      </c>
      <c r="AZ54" s="177" t="s">
        <v>41</v>
      </c>
      <c r="BA54" s="177">
        <v>0</v>
      </c>
      <c r="BB54" s="177">
        <v>0</v>
      </c>
      <c r="BE54" s="176"/>
      <c r="BF54" s="211"/>
      <c r="BI54" s="120"/>
      <c r="BJ54" s="210" t="s">
        <v>520</v>
      </c>
      <c r="BK54" s="168">
        <f t="shared" si="5"/>
        <v>101</v>
      </c>
      <c r="BL54" s="211">
        <v>38</v>
      </c>
      <c r="BM54" s="212">
        <v>52</v>
      </c>
      <c r="BN54" s="168">
        <f t="shared" si="4"/>
        <v>139</v>
      </c>
      <c r="BO54" s="168">
        <v>38</v>
      </c>
      <c r="BP54" s="200">
        <v>52</v>
      </c>
      <c r="BQ54" s="177">
        <v>25</v>
      </c>
      <c r="BS54" s="210" t="s">
        <v>520</v>
      </c>
      <c r="BT54" s="177">
        <v>76</v>
      </c>
      <c r="BU54" s="177">
        <v>64</v>
      </c>
      <c r="BV54" s="177">
        <v>684</v>
      </c>
      <c r="BW54" s="177">
        <v>114</v>
      </c>
      <c r="BX54" s="177">
        <v>64</v>
      </c>
      <c r="BY54" s="176">
        <v>916</v>
      </c>
      <c r="CE54" s="177" t="s">
        <v>476</v>
      </c>
      <c r="CM54" s="120" t="s">
        <v>485</v>
      </c>
      <c r="CN54" s="177" t="s">
        <v>486</v>
      </c>
    </row>
    <row r="55" spans="1:92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U55" s="176" t="s">
        <v>153</v>
      </c>
      <c r="V55" s="177">
        <v>75</v>
      </c>
      <c r="W55" s="177">
        <v>60</v>
      </c>
      <c r="X55" s="177">
        <v>54</v>
      </c>
      <c r="Z55" s="180" t="s">
        <v>138</v>
      </c>
      <c r="AA55" s="180" t="s">
        <v>156</v>
      </c>
      <c r="AB55" s="180">
        <v>242.00000000000006</v>
      </c>
      <c r="AC55" s="180" t="s">
        <v>138</v>
      </c>
      <c r="AD55" s="180" t="s">
        <v>156</v>
      </c>
      <c r="AE55" s="180">
        <v>242.00000000000006</v>
      </c>
      <c r="AF55" s="180"/>
      <c r="AG55" s="180"/>
      <c r="AH55" s="180"/>
      <c r="AM55" s="177" t="s">
        <v>41</v>
      </c>
      <c r="AN55" s="177">
        <v>0</v>
      </c>
      <c r="AO55" s="177">
        <v>0</v>
      </c>
      <c r="AQ55" s="177" t="s">
        <v>91</v>
      </c>
      <c r="AR55" s="177" t="s">
        <v>575</v>
      </c>
      <c r="AS55" s="177">
        <v>1450</v>
      </c>
      <c r="BE55" s="176"/>
      <c r="BF55" s="211"/>
      <c r="BI55" s="120"/>
      <c r="BJ55" s="210" t="s">
        <v>521</v>
      </c>
      <c r="BK55" s="168">
        <f t="shared" si="5"/>
        <v>124</v>
      </c>
      <c r="BL55" s="211">
        <v>32</v>
      </c>
      <c r="BM55" s="212">
        <v>52</v>
      </c>
      <c r="BN55" s="168">
        <f t="shared" si="4"/>
        <v>162</v>
      </c>
      <c r="BO55" s="168">
        <v>32</v>
      </c>
      <c r="BP55" s="200">
        <v>52</v>
      </c>
      <c r="BQ55" s="177">
        <v>48</v>
      </c>
      <c r="BS55" s="210" t="s">
        <v>521</v>
      </c>
      <c r="BT55" s="177">
        <v>76</v>
      </c>
      <c r="BU55" s="177">
        <v>64</v>
      </c>
      <c r="BV55" s="177">
        <v>684</v>
      </c>
      <c r="BW55" s="177">
        <v>114</v>
      </c>
      <c r="BX55" s="177">
        <v>64</v>
      </c>
      <c r="BY55" s="177">
        <v>916</v>
      </c>
      <c r="CE55" s="177" t="s">
        <v>478</v>
      </c>
      <c r="CM55" s="120" t="s">
        <v>487</v>
      </c>
      <c r="CN55" s="177" t="s">
        <v>488</v>
      </c>
    </row>
    <row r="56" spans="1:92">
      <c r="A56" s="176"/>
      <c r="B56" s="204" t="str">
        <f>B29&amp;" "&amp;B8&amp;B26&amp;" "&amp;B9&amp;" "&amp;B22&amp;" "&amp;B21&amp;" "&amp;B33&amp;B34&amp;B35&amp;B27&amp;" "&amp;VLOOKUP($B$5,$C$65:$D$101,2,FALSE)&amp;" Cab"</f>
        <v xml:space="preserve"> RHSC 6-Row Evap. 25 inch FAN; 15HP   60kW EXL Cab</v>
      </c>
      <c r="C56" s="204"/>
      <c r="D56" s="204"/>
      <c r="E56" s="204"/>
      <c r="F56" s="204"/>
      <c r="G56" s="204"/>
      <c r="H56" s="204"/>
      <c r="I56" s="204"/>
      <c r="J56" s="204"/>
      <c r="K56" s="204"/>
      <c r="L56" s="176"/>
      <c r="M56" s="176"/>
      <c r="N56" s="176"/>
      <c r="O56" s="176"/>
      <c r="P56" s="176"/>
      <c r="Q56" s="176"/>
      <c r="R56" s="176"/>
      <c r="S56" s="176"/>
      <c r="Z56" s="180" t="s">
        <v>139</v>
      </c>
      <c r="AA56" s="180" t="s">
        <v>156</v>
      </c>
      <c r="AB56" s="180">
        <v>242.00000000000006</v>
      </c>
      <c r="AC56" s="180" t="s">
        <v>139</v>
      </c>
      <c r="AD56" s="180" t="s">
        <v>156</v>
      </c>
      <c r="AE56" s="180">
        <v>242.00000000000006</v>
      </c>
      <c r="AF56" s="180"/>
      <c r="AG56" s="180"/>
      <c r="AH56" s="180"/>
      <c r="AQ56" s="177" t="s">
        <v>218</v>
      </c>
      <c r="AR56" s="177" t="s">
        <v>576</v>
      </c>
      <c r="AS56" s="177">
        <v>1600</v>
      </c>
      <c r="BE56" s="176"/>
      <c r="BF56" s="211"/>
      <c r="BI56" s="120"/>
      <c r="BJ56" s="210" t="s">
        <v>522</v>
      </c>
      <c r="BK56" s="168">
        <f t="shared" si="5"/>
        <v>112</v>
      </c>
      <c r="BL56" s="211">
        <v>32</v>
      </c>
      <c r="BM56" s="212">
        <v>75</v>
      </c>
      <c r="BN56" s="168">
        <f t="shared" si="4"/>
        <v>150</v>
      </c>
      <c r="BO56" s="168">
        <v>32</v>
      </c>
      <c r="BP56" s="200">
        <v>75</v>
      </c>
      <c r="BQ56" s="177">
        <v>36</v>
      </c>
      <c r="BS56" s="210" t="s">
        <v>522</v>
      </c>
      <c r="BT56" s="177">
        <v>76</v>
      </c>
      <c r="BU56" s="177">
        <v>64</v>
      </c>
      <c r="BV56" s="177">
        <v>684</v>
      </c>
      <c r="BW56" s="177">
        <v>114</v>
      </c>
      <c r="BX56" s="177">
        <v>64</v>
      </c>
      <c r="BY56" s="177">
        <v>916</v>
      </c>
      <c r="CE56" s="177" t="s">
        <v>480</v>
      </c>
      <c r="CM56" s="120" t="s">
        <v>489</v>
      </c>
      <c r="CN56" s="177" t="s">
        <v>490</v>
      </c>
    </row>
    <row r="57" spans="1:92">
      <c r="A57" s="176"/>
      <c r="B57" s="244" t="str">
        <f>B4</f>
        <v>PROW</v>
      </c>
      <c r="C57" s="213" t="s">
        <v>62</v>
      </c>
      <c r="D57" s="227" t="s">
        <v>63</v>
      </c>
      <c r="E57" s="245" t="s">
        <v>64</v>
      </c>
      <c r="F57" s="245"/>
      <c r="G57" s="245"/>
      <c r="H57" s="245" t="s">
        <v>755</v>
      </c>
      <c r="I57" s="245"/>
      <c r="J57" s="245"/>
      <c r="K57" s="245"/>
      <c r="L57" s="176"/>
      <c r="M57" s="176"/>
      <c r="N57" s="176"/>
      <c r="O57" s="176"/>
      <c r="P57" s="176"/>
      <c r="Q57" s="176"/>
      <c r="R57" s="176"/>
      <c r="S57" s="176"/>
      <c r="Z57" s="180" t="s">
        <v>140</v>
      </c>
      <c r="AA57" s="180" t="s">
        <v>156</v>
      </c>
      <c r="AB57" s="180">
        <v>242.00000000000006</v>
      </c>
      <c r="AC57" s="180" t="s">
        <v>140</v>
      </c>
      <c r="AD57" s="180" t="s">
        <v>156</v>
      </c>
      <c r="AE57" s="180">
        <v>242.00000000000006</v>
      </c>
      <c r="AF57" s="180"/>
      <c r="AG57" s="180"/>
      <c r="AH57" s="180"/>
      <c r="AM57" s="177" t="s">
        <v>231</v>
      </c>
      <c r="AQ57" s="177" t="s">
        <v>791</v>
      </c>
      <c r="AR57" s="177" t="s">
        <v>601</v>
      </c>
      <c r="AS57" s="177">
        <v>1200</v>
      </c>
      <c r="BE57" s="176"/>
      <c r="BF57" s="211"/>
      <c r="BI57" s="120"/>
      <c r="BJ57" s="214" t="s">
        <v>511</v>
      </c>
      <c r="BK57" s="168">
        <f t="shared" si="5"/>
        <v>109</v>
      </c>
      <c r="BL57" s="211">
        <v>38</v>
      </c>
      <c r="BM57" s="212">
        <v>60</v>
      </c>
      <c r="BN57" s="168">
        <f t="shared" si="4"/>
        <v>154</v>
      </c>
      <c r="BO57" s="168">
        <v>38</v>
      </c>
      <c r="BP57" s="200">
        <v>60</v>
      </c>
      <c r="BQ57" s="177">
        <v>19</v>
      </c>
      <c r="BS57" s="214" t="s">
        <v>511</v>
      </c>
      <c r="BT57" s="177">
        <v>90</v>
      </c>
      <c r="BU57" s="177">
        <v>64</v>
      </c>
      <c r="BV57" s="177">
        <v>1175</v>
      </c>
      <c r="BW57" s="177">
        <v>135</v>
      </c>
      <c r="BX57" s="177">
        <v>64</v>
      </c>
      <c r="BY57" s="177">
        <v>1551</v>
      </c>
      <c r="CE57" s="177" t="s">
        <v>482</v>
      </c>
      <c r="CM57" s="120" t="s">
        <v>491</v>
      </c>
      <c r="CN57" s="177" t="s">
        <v>492</v>
      </c>
    </row>
    <row r="58" spans="1:92">
      <c r="A58" s="176"/>
      <c r="B58" s="244"/>
      <c r="C58" s="227" t="s">
        <v>65</v>
      </c>
      <c r="D58" s="227" t="s">
        <v>65</v>
      </c>
      <c r="E58" s="227" t="s">
        <v>41</v>
      </c>
      <c r="F58" s="227" t="s">
        <v>42</v>
      </c>
      <c r="G58" s="227" t="s">
        <v>43</v>
      </c>
      <c r="H58" s="227" t="s">
        <v>51</v>
      </c>
      <c r="I58" s="227" t="s">
        <v>52</v>
      </c>
      <c r="J58" s="227" t="s">
        <v>53</v>
      </c>
      <c r="K58" s="227" t="s">
        <v>54</v>
      </c>
      <c r="L58" s="176"/>
      <c r="M58" s="176"/>
      <c r="N58" s="176"/>
      <c r="O58" s="176"/>
      <c r="P58" s="168" t="s">
        <v>2</v>
      </c>
      <c r="Q58" s="176" t="s">
        <v>41</v>
      </c>
      <c r="R58" s="176" t="s">
        <v>42</v>
      </c>
      <c r="S58" s="176" t="s">
        <v>43</v>
      </c>
      <c r="U58" s="177" t="s">
        <v>2</v>
      </c>
      <c r="V58" s="177" t="s">
        <v>41</v>
      </c>
      <c r="W58" s="177" t="s">
        <v>42</v>
      </c>
      <c r="X58" s="177" t="s">
        <v>43</v>
      </c>
      <c r="Z58" s="180" t="s">
        <v>141</v>
      </c>
      <c r="AA58" s="180" t="s">
        <v>679</v>
      </c>
      <c r="AB58" s="180">
        <v>484.00000000000011</v>
      </c>
      <c r="AC58" s="180" t="s">
        <v>141</v>
      </c>
      <c r="AD58" s="180" t="s">
        <v>679</v>
      </c>
      <c r="AE58" s="180">
        <v>484.00000000000011</v>
      </c>
      <c r="AF58" s="180"/>
      <c r="AG58" s="180"/>
      <c r="AH58" s="180"/>
      <c r="AM58" s="177">
        <v>36</v>
      </c>
      <c r="AN58" s="177">
        <v>19.28</v>
      </c>
      <c r="BE58" s="176"/>
      <c r="BF58" s="211"/>
      <c r="BI58" s="120"/>
      <c r="BJ58" s="210" t="s">
        <v>523</v>
      </c>
      <c r="BK58" s="168">
        <f t="shared" si="5"/>
        <v>138</v>
      </c>
      <c r="BL58" s="211">
        <v>32</v>
      </c>
      <c r="BM58" s="212">
        <v>60</v>
      </c>
      <c r="BN58" s="168">
        <f t="shared" si="4"/>
        <v>183</v>
      </c>
      <c r="BO58" s="168">
        <v>32</v>
      </c>
      <c r="BP58" s="200">
        <v>60</v>
      </c>
      <c r="BQ58" s="177">
        <v>48</v>
      </c>
      <c r="BS58" s="210" t="s">
        <v>523</v>
      </c>
      <c r="BT58" s="177">
        <v>90</v>
      </c>
      <c r="BU58" s="177">
        <v>64</v>
      </c>
      <c r="BV58" s="177">
        <v>1175</v>
      </c>
      <c r="BW58" s="177">
        <v>135</v>
      </c>
      <c r="BX58" s="177">
        <v>64</v>
      </c>
      <c r="BY58" s="177">
        <v>1551</v>
      </c>
      <c r="CE58" s="177" t="s">
        <v>484</v>
      </c>
      <c r="CM58" s="120" t="s">
        <v>493</v>
      </c>
      <c r="CN58" s="177" t="s">
        <v>494</v>
      </c>
    </row>
    <row r="59" spans="1:92">
      <c r="A59" s="176"/>
      <c r="B59" s="244">
        <f>IF(C4&gt;96,C4,"0"&amp;C4)</f>
        <v>720</v>
      </c>
      <c r="C59" s="215">
        <f>MROUND(C41,10)</f>
        <v>9680</v>
      </c>
      <c r="D59" s="215">
        <f>MROUND(C42,10)</f>
        <v>9800</v>
      </c>
      <c r="E59" s="216">
        <f>D41</f>
        <v>112.30326275892922</v>
      </c>
      <c r="F59" s="216">
        <f>E41</f>
        <v>54.985330350186388</v>
      </c>
      <c r="G59" s="216">
        <f>F41</f>
        <v>63.219014183827362</v>
      </c>
      <c r="H59" s="215">
        <f>MROUND(E48,10)</f>
        <v>1910</v>
      </c>
      <c r="I59" s="215">
        <f>MROUND(E49,10)</f>
        <v>2340</v>
      </c>
      <c r="J59" s="215">
        <f>MROUND(E50,10)</f>
        <v>2490</v>
      </c>
      <c r="K59" s="215">
        <f>MROUND(E51,10)</f>
        <v>3060</v>
      </c>
      <c r="L59" s="179">
        <f>SUM(H59:K59)</f>
        <v>9800</v>
      </c>
      <c r="M59" s="176"/>
      <c r="N59" s="176"/>
      <c r="O59" s="176"/>
      <c r="P59" s="168" t="s">
        <v>58</v>
      </c>
      <c r="Q59" s="176">
        <v>52</v>
      </c>
      <c r="R59" s="176">
        <v>9</v>
      </c>
      <c r="S59" s="176">
        <v>17</v>
      </c>
      <c r="U59" s="180" t="s">
        <v>58</v>
      </c>
      <c r="V59" s="177">
        <v>88</v>
      </c>
      <c r="W59" s="177">
        <v>9</v>
      </c>
      <c r="X59" s="177">
        <v>17</v>
      </c>
      <c r="Z59" s="180" t="s">
        <v>142</v>
      </c>
      <c r="AA59" s="180" t="s">
        <v>679</v>
      </c>
      <c r="AB59" s="180">
        <v>484.00000000000011</v>
      </c>
      <c r="AC59" s="180" t="s">
        <v>142</v>
      </c>
      <c r="AD59" s="180" t="s">
        <v>679</v>
      </c>
      <c r="AE59" s="180">
        <v>484.00000000000011</v>
      </c>
      <c r="AF59" s="180"/>
      <c r="AG59" s="180"/>
      <c r="AH59" s="180"/>
      <c r="AM59" s="177">
        <v>48</v>
      </c>
      <c r="AN59" s="177">
        <v>19.28</v>
      </c>
      <c r="AQ59" s="247" t="s">
        <v>792</v>
      </c>
      <c r="BE59" s="176"/>
      <c r="BF59" s="211"/>
      <c r="BI59" s="120"/>
      <c r="BJ59" s="210" t="s">
        <v>524</v>
      </c>
      <c r="BK59" s="168">
        <f t="shared" si="5"/>
        <v>126</v>
      </c>
      <c r="BL59" s="211">
        <v>32</v>
      </c>
      <c r="BM59" s="212">
        <v>75</v>
      </c>
      <c r="BN59" s="168">
        <f t="shared" si="4"/>
        <v>171</v>
      </c>
      <c r="BO59" s="168">
        <v>32</v>
      </c>
      <c r="BP59" s="200">
        <v>75</v>
      </c>
      <c r="BQ59" s="177">
        <v>36</v>
      </c>
      <c r="BS59" s="210" t="s">
        <v>524</v>
      </c>
      <c r="BT59" s="177">
        <v>90</v>
      </c>
      <c r="BU59" s="177">
        <v>64</v>
      </c>
      <c r="BV59" s="177">
        <v>1175</v>
      </c>
      <c r="BW59" s="177">
        <v>135</v>
      </c>
      <c r="BX59" s="177">
        <v>64</v>
      </c>
      <c r="BY59" s="177">
        <v>1551</v>
      </c>
      <c r="CE59" s="177" t="s">
        <v>486</v>
      </c>
      <c r="CM59" s="120" t="s">
        <v>495</v>
      </c>
      <c r="CN59" s="177" t="s">
        <v>496</v>
      </c>
    </row>
    <row r="60" spans="1:92">
      <c r="A60" s="176"/>
      <c r="B60" s="244"/>
      <c r="C60" s="217">
        <f>C59*0.453*-1</f>
        <v>-4385.04</v>
      </c>
      <c r="D60" s="217">
        <f>-D59*0.453</f>
        <v>-4439.4000000000005</v>
      </c>
      <c r="E60" s="218">
        <f>-E59*25.4</f>
        <v>-2852.5028740768021</v>
      </c>
      <c r="F60" s="218">
        <f>-F59*25.4</f>
        <v>-1396.6273908947342</v>
      </c>
      <c r="G60" s="218">
        <f>-G59*25.4</f>
        <v>-1605.762960269215</v>
      </c>
      <c r="H60" s="219">
        <f>-H59*0.453</f>
        <v>-865.23</v>
      </c>
      <c r="I60" s="219">
        <f>-I59*0.453</f>
        <v>-1060.02</v>
      </c>
      <c r="J60" s="219">
        <f>-J59*0.453</f>
        <v>-1127.97</v>
      </c>
      <c r="K60" s="219">
        <f>-K59*0.453</f>
        <v>-1386.18</v>
      </c>
      <c r="L60" s="176"/>
      <c r="M60" s="176"/>
      <c r="N60" s="176"/>
      <c r="O60" s="176"/>
      <c r="P60" s="168" t="s">
        <v>85</v>
      </c>
      <c r="Q60" s="176">
        <v>53</v>
      </c>
      <c r="R60" s="176">
        <v>9.5</v>
      </c>
      <c r="S60" s="176">
        <v>17</v>
      </c>
      <c r="U60" s="180" t="s">
        <v>85</v>
      </c>
      <c r="V60" s="177">
        <v>91</v>
      </c>
      <c r="W60" s="177">
        <v>9</v>
      </c>
      <c r="X60" s="177">
        <v>17</v>
      </c>
      <c r="Z60" s="180" t="s">
        <v>143</v>
      </c>
      <c r="AA60" s="180" t="s">
        <v>679</v>
      </c>
      <c r="AB60" s="180">
        <v>484.00000000000011</v>
      </c>
      <c r="AC60" s="180" t="s">
        <v>143</v>
      </c>
      <c r="AD60" s="180" t="s">
        <v>679</v>
      </c>
      <c r="AE60" s="180">
        <v>484.00000000000011</v>
      </c>
      <c r="AF60" s="180"/>
      <c r="AG60" s="180"/>
      <c r="AH60" s="180"/>
      <c r="AM60" s="177">
        <v>60</v>
      </c>
      <c r="AN60" s="177">
        <v>19.28</v>
      </c>
      <c r="AQ60" s="247" t="s">
        <v>793</v>
      </c>
      <c r="BE60" s="176"/>
      <c r="BF60" s="211"/>
      <c r="BI60" s="120"/>
      <c r="BJ60" s="210" t="s">
        <v>525</v>
      </c>
      <c r="BK60" s="168">
        <f t="shared" si="5"/>
        <v>139</v>
      </c>
      <c r="BL60" s="211">
        <v>32</v>
      </c>
      <c r="BM60" s="212">
        <v>75</v>
      </c>
      <c r="BN60" s="168">
        <f t="shared" si="4"/>
        <v>184</v>
      </c>
      <c r="BO60" s="168">
        <v>32</v>
      </c>
      <c r="BP60" s="200">
        <v>75</v>
      </c>
      <c r="BQ60" s="177">
        <v>49</v>
      </c>
      <c r="BS60" s="210" t="s">
        <v>525</v>
      </c>
      <c r="BT60" s="177">
        <v>90</v>
      </c>
      <c r="BU60" s="177">
        <v>64</v>
      </c>
      <c r="BV60" s="177">
        <v>1175</v>
      </c>
      <c r="BW60" s="177">
        <v>135</v>
      </c>
      <c r="BX60" s="177">
        <v>64</v>
      </c>
      <c r="BY60" s="177">
        <v>1551</v>
      </c>
      <c r="CE60" s="177" t="s">
        <v>488</v>
      </c>
      <c r="CM60" s="120" t="s">
        <v>497</v>
      </c>
      <c r="CN60" s="177" t="s">
        <v>498</v>
      </c>
    </row>
    <row r="61" spans="1:92">
      <c r="A61" s="176"/>
      <c r="B61" s="220" t="s">
        <v>754</v>
      </c>
      <c r="C61" s="176"/>
      <c r="D61" s="176"/>
      <c r="E61" s="176"/>
      <c r="F61" s="176" t="str">
        <f>"Approx. Main Cabinet LXW:"&amp;" "&amp;CEILING(D43,5)&amp;" X "&amp;F43</f>
        <v>Approx. Main Cabinet LXW: 205 X 100</v>
      </c>
      <c r="G61" s="176"/>
      <c r="H61" s="176"/>
      <c r="I61" s="176"/>
      <c r="J61" s="176"/>
      <c r="K61" s="221">
        <f ca="1">TODAY()</f>
        <v>42685</v>
      </c>
      <c r="L61" s="176"/>
      <c r="M61" s="176"/>
      <c r="N61" s="176"/>
      <c r="O61" s="176"/>
      <c r="P61" s="168" t="s">
        <v>56</v>
      </c>
      <c r="Q61" s="176">
        <v>65</v>
      </c>
      <c r="R61" s="176">
        <v>9</v>
      </c>
      <c r="S61" s="176">
        <v>17</v>
      </c>
      <c r="U61" s="180" t="s">
        <v>56</v>
      </c>
      <c r="V61" s="177">
        <v>104</v>
      </c>
      <c r="W61" s="177">
        <v>9</v>
      </c>
      <c r="X61" s="177">
        <v>17</v>
      </c>
      <c r="Z61" s="180" t="s">
        <v>144</v>
      </c>
      <c r="AA61" s="180" t="s">
        <v>679</v>
      </c>
      <c r="AB61" s="180">
        <v>484.00000000000011</v>
      </c>
      <c r="AC61" s="180" t="s">
        <v>144</v>
      </c>
      <c r="AD61" s="180" t="s">
        <v>679</v>
      </c>
      <c r="AE61" s="180">
        <v>484.00000000000011</v>
      </c>
      <c r="AF61" s="180"/>
      <c r="AG61" s="180"/>
      <c r="AH61" s="180"/>
      <c r="AM61" s="177">
        <v>72</v>
      </c>
      <c r="AN61" s="177">
        <v>22.76</v>
      </c>
      <c r="AQ61" s="247" t="s">
        <v>794</v>
      </c>
      <c r="BE61" s="176"/>
      <c r="BF61" s="211"/>
      <c r="BI61" s="120"/>
      <c r="BJ61" s="210" t="s">
        <v>526</v>
      </c>
      <c r="BK61" s="168">
        <f t="shared" si="5"/>
        <v>168</v>
      </c>
      <c r="BL61" s="211">
        <v>44</v>
      </c>
      <c r="BM61" s="212">
        <v>75</v>
      </c>
      <c r="BN61" s="168">
        <f t="shared" si="4"/>
        <v>236</v>
      </c>
      <c r="BO61" s="168">
        <v>44</v>
      </c>
      <c r="BP61" s="200">
        <v>75</v>
      </c>
      <c r="BQ61" s="177">
        <v>36</v>
      </c>
      <c r="BS61" s="210" t="s">
        <v>526</v>
      </c>
      <c r="BT61" s="177">
        <v>132</v>
      </c>
      <c r="BU61" s="177">
        <v>88</v>
      </c>
      <c r="BV61" s="177">
        <v>1950</v>
      </c>
      <c r="BW61" s="177">
        <v>200</v>
      </c>
      <c r="BX61" s="177">
        <v>88</v>
      </c>
      <c r="BY61" s="177">
        <v>2944</v>
      </c>
      <c r="CE61" s="177" t="s">
        <v>490</v>
      </c>
      <c r="CM61" s="120" t="s">
        <v>499</v>
      </c>
      <c r="CN61" s="177" t="s">
        <v>500</v>
      </c>
    </row>
    <row r="62" spans="1:92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68" t="s">
        <v>86</v>
      </c>
      <c r="Q62" s="176">
        <v>97</v>
      </c>
      <c r="R62" s="176">
        <v>12</v>
      </c>
      <c r="S62" s="176">
        <v>32</v>
      </c>
      <c r="U62" s="180" t="s">
        <v>86</v>
      </c>
      <c r="V62" s="177">
        <v>164</v>
      </c>
      <c r="W62" s="177">
        <v>12</v>
      </c>
      <c r="X62" s="177">
        <v>32</v>
      </c>
      <c r="Z62" s="180" t="s">
        <v>145</v>
      </c>
      <c r="AA62" s="180" t="s">
        <v>679</v>
      </c>
      <c r="AB62" s="180">
        <v>484.00000000000011</v>
      </c>
      <c r="AC62" s="180" t="s">
        <v>145</v>
      </c>
      <c r="AD62" s="180" t="s">
        <v>679</v>
      </c>
      <c r="AE62" s="180">
        <v>484.00000000000011</v>
      </c>
      <c r="AF62" s="180"/>
      <c r="AG62" s="180"/>
      <c r="AH62" s="180"/>
      <c r="AM62" s="177">
        <v>84</v>
      </c>
      <c r="AN62" s="177">
        <v>26</v>
      </c>
      <c r="AQ62" s="247" t="s">
        <v>795</v>
      </c>
      <c r="BE62" s="176"/>
      <c r="BF62" s="211"/>
      <c r="BI62" s="120"/>
      <c r="BJ62" s="210" t="s">
        <v>527</v>
      </c>
      <c r="BK62" s="168">
        <f t="shared" si="5"/>
        <v>181</v>
      </c>
      <c r="BL62" s="211">
        <v>44</v>
      </c>
      <c r="BM62" s="212">
        <v>75</v>
      </c>
      <c r="BN62" s="168">
        <f t="shared" si="4"/>
        <v>249</v>
      </c>
      <c r="BO62" s="168">
        <v>44</v>
      </c>
      <c r="BP62" s="200">
        <v>75</v>
      </c>
      <c r="BQ62" s="177">
        <v>49</v>
      </c>
      <c r="BS62" s="210" t="s">
        <v>527</v>
      </c>
      <c r="BT62" s="177">
        <v>132</v>
      </c>
      <c r="BU62" s="177">
        <v>88</v>
      </c>
      <c r="BV62" s="177">
        <v>1950</v>
      </c>
      <c r="BW62" s="177">
        <v>200</v>
      </c>
      <c r="BX62" s="177">
        <v>88</v>
      </c>
      <c r="BY62" s="177">
        <v>2944</v>
      </c>
      <c r="CE62" s="177" t="s">
        <v>492</v>
      </c>
      <c r="CM62" s="120" t="s">
        <v>501</v>
      </c>
      <c r="CN62" s="177" t="s">
        <v>502</v>
      </c>
    </row>
    <row r="63" spans="1:92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68" t="s">
        <v>103</v>
      </c>
      <c r="Q63" s="176">
        <v>93</v>
      </c>
      <c r="R63" s="176">
        <v>40</v>
      </c>
      <c r="S63" s="176">
        <v>32</v>
      </c>
      <c r="U63" s="180" t="s">
        <v>103</v>
      </c>
      <c r="V63" s="177">
        <v>185</v>
      </c>
      <c r="W63" s="177">
        <v>20</v>
      </c>
      <c r="X63" s="177">
        <v>32</v>
      </c>
      <c r="Z63" s="180" t="s">
        <v>146</v>
      </c>
      <c r="AA63" s="180" t="s">
        <v>679</v>
      </c>
      <c r="AB63" s="180">
        <v>484.00000000000011</v>
      </c>
      <c r="AC63" s="180" t="s">
        <v>146</v>
      </c>
      <c r="AD63" s="180" t="s">
        <v>679</v>
      </c>
      <c r="AE63" s="180">
        <v>484.00000000000011</v>
      </c>
      <c r="AF63" s="180"/>
      <c r="AG63" s="180"/>
      <c r="AH63" s="180"/>
      <c r="AM63" s="177">
        <v>96</v>
      </c>
      <c r="AN63" s="177">
        <v>30.44</v>
      </c>
      <c r="AQ63" s="247" t="s">
        <v>796</v>
      </c>
      <c r="AZ63" s="120" t="s">
        <v>577</v>
      </c>
      <c r="BE63" s="176"/>
      <c r="BF63" s="211"/>
      <c r="BI63" s="120"/>
      <c r="BJ63" s="210" t="s">
        <v>543</v>
      </c>
      <c r="BK63" s="168">
        <f t="shared" si="5"/>
        <v>191</v>
      </c>
      <c r="BL63" s="211">
        <v>44</v>
      </c>
      <c r="BM63" s="212">
        <v>75</v>
      </c>
      <c r="BN63" s="168">
        <f t="shared" si="4"/>
        <v>259</v>
      </c>
      <c r="BO63" s="168">
        <v>44</v>
      </c>
      <c r="BP63" s="200">
        <v>75</v>
      </c>
      <c r="BQ63" s="177">
        <v>59</v>
      </c>
      <c r="BS63" s="210" t="s">
        <v>543</v>
      </c>
      <c r="BT63" s="177">
        <v>132</v>
      </c>
      <c r="BU63" s="177">
        <v>88</v>
      </c>
      <c r="BV63" s="177">
        <v>1950</v>
      </c>
      <c r="BW63" s="177">
        <v>200</v>
      </c>
      <c r="BX63" s="177">
        <v>88</v>
      </c>
      <c r="BY63" s="177">
        <v>2944</v>
      </c>
      <c r="CE63" s="177" t="s">
        <v>494</v>
      </c>
      <c r="CM63" s="120" t="s">
        <v>503</v>
      </c>
      <c r="CN63" s="177" t="s">
        <v>504</v>
      </c>
    </row>
    <row r="64" spans="1:92">
      <c r="A64" s="176"/>
      <c r="B64" s="176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 t="s">
        <v>61</v>
      </c>
      <c r="Q64" s="176">
        <v>53</v>
      </c>
      <c r="R64" s="176">
        <v>9.5</v>
      </c>
      <c r="S64" s="176">
        <v>17</v>
      </c>
      <c r="U64" s="176" t="s">
        <v>61</v>
      </c>
      <c r="V64" s="177">
        <v>91</v>
      </c>
      <c r="W64" s="177">
        <v>9</v>
      </c>
      <c r="X64" s="177">
        <v>17</v>
      </c>
      <c r="Z64" s="180" t="s">
        <v>147</v>
      </c>
      <c r="AA64" s="180" t="s">
        <v>679</v>
      </c>
      <c r="AB64" s="180">
        <v>484.00000000000011</v>
      </c>
      <c r="AC64" s="180" t="s">
        <v>147</v>
      </c>
      <c r="AD64" s="180" t="s">
        <v>679</v>
      </c>
      <c r="AE64" s="180">
        <v>484.00000000000011</v>
      </c>
      <c r="AF64" s="180"/>
      <c r="AG64" s="180"/>
      <c r="AH64" s="180"/>
      <c r="AM64" s="177">
        <v>120</v>
      </c>
      <c r="AN64" s="177">
        <v>31.88</v>
      </c>
      <c r="AQ64" s="247" t="s">
        <v>797</v>
      </c>
      <c r="AZ64" s="120" t="s">
        <v>578</v>
      </c>
      <c r="BE64" s="176"/>
      <c r="BF64" s="176"/>
      <c r="BI64" s="120"/>
      <c r="BJ64" s="177" t="s">
        <v>777</v>
      </c>
      <c r="BK64" s="168">
        <f t="shared" si="5"/>
        <v>0</v>
      </c>
      <c r="BS64" s="177" t="s">
        <v>777</v>
      </c>
      <c r="CE64" s="177" t="s">
        <v>496</v>
      </c>
      <c r="CM64" s="120" t="s">
        <v>505</v>
      </c>
      <c r="CN64" s="177" t="s">
        <v>506</v>
      </c>
    </row>
    <row r="65" spans="1:92">
      <c r="A65" s="176"/>
      <c r="B65" s="176"/>
      <c r="C65" s="222" t="s">
        <v>221</v>
      </c>
      <c r="D65" s="222" t="s">
        <v>221</v>
      </c>
      <c r="E65" s="222" t="s">
        <v>396</v>
      </c>
      <c r="F65" s="177" t="s">
        <v>687</v>
      </c>
      <c r="G65" s="176"/>
      <c r="H65" s="176"/>
      <c r="I65" s="176"/>
      <c r="J65" s="176"/>
      <c r="K65" s="176"/>
      <c r="L65" s="176"/>
      <c r="M65" s="176"/>
      <c r="N65" s="176"/>
      <c r="O65" s="176"/>
      <c r="P65" s="176" t="s">
        <v>66</v>
      </c>
      <c r="Q65" s="176">
        <v>65</v>
      </c>
      <c r="R65" s="176">
        <v>9</v>
      </c>
      <c r="S65" s="176">
        <v>17</v>
      </c>
      <c r="U65" s="176" t="s">
        <v>66</v>
      </c>
      <c r="V65" s="177">
        <v>104</v>
      </c>
      <c r="W65" s="177">
        <v>9</v>
      </c>
      <c r="X65" s="177">
        <v>17</v>
      </c>
      <c r="Z65" s="180" t="s">
        <v>148</v>
      </c>
      <c r="AA65" s="180" t="s">
        <v>679</v>
      </c>
      <c r="AB65" s="180">
        <v>484.00000000000011</v>
      </c>
      <c r="AC65" s="180" t="s">
        <v>148</v>
      </c>
      <c r="AD65" s="180" t="s">
        <v>679</v>
      </c>
      <c r="AE65" s="180">
        <v>484.00000000000011</v>
      </c>
      <c r="AF65" s="180"/>
      <c r="AG65" s="180"/>
      <c r="AH65" s="180"/>
      <c r="AM65" s="177">
        <v>150</v>
      </c>
      <c r="AN65" s="177">
        <v>36.92</v>
      </c>
      <c r="AQ65" s="247" t="s">
        <v>798</v>
      </c>
      <c r="AZ65" s="120" t="s">
        <v>579</v>
      </c>
      <c r="BE65" s="176"/>
      <c r="BF65" s="211"/>
      <c r="BI65" s="120"/>
      <c r="BJ65" s="210" t="s">
        <v>528</v>
      </c>
      <c r="BK65" s="168">
        <f t="shared" si="5"/>
        <v>199</v>
      </c>
      <c r="BL65" s="183" t="s">
        <v>779</v>
      </c>
      <c r="BM65" s="183" t="s">
        <v>780</v>
      </c>
      <c r="BN65" s="168">
        <f t="shared" ref="BN65:BN77" si="6">BW65+BQ65</f>
        <v>281</v>
      </c>
      <c r="BO65" s="177">
        <v>50</v>
      </c>
      <c r="BP65" s="177">
        <v>90</v>
      </c>
      <c r="BQ65" s="177">
        <v>49</v>
      </c>
      <c r="BS65" s="210" t="s">
        <v>528</v>
      </c>
      <c r="BT65" s="177">
        <v>150</v>
      </c>
      <c r="BU65" s="177">
        <v>100</v>
      </c>
      <c r="BV65" s="177">
        <v>5510</v>
      </c>
      <c r="BW65" s="177">
        <v>232</v>
      </c>
      <c r="BX65" s="177">
        <v>100</v>
      </c>
      <c r="BY65" s="177">
        <v>7200</v>
      </c>
      <c r="CE65" s="177" t="s">
        <v>498</v>
      </c>
      <c r="CM65" s="120" t="s">
        <v>507</v>
      </c>
      <c r="CN65" s="177" t="s">
        <v>508</v>
      </c>
    </row>
    <row r="66" spans="1:92">
      <c r="A66" s="176"/>
      <c r="B66" s="176"/>
      <c r="C66" s="222" t="s">
        <v>222</v>
      </c>
      <c r="D66" s="222" t="s">
        <v>222</v>
      </c>
      <c r="E66" s="222" t="s">
        <v>397</v>
      </c>
      <c r="F66" s="177" t="s">
        <v>688</v>
      </c>
      <c r="G66" s="176"/>
      <c r="H66" s="176"/>
      <c r="I66" s="176"/>
      <c r="J66" s="176"/>
      <c r="K66" s="176"/>
      <c r="L66" s="176"/>
      <c r="M66" s="176"/>
      <c r="N66" s="176"/>
      <c r="O66" s="176"/>
      <c r="P66" s="176" t="s">
        <v>60</v>
      </c>
      <c r="Q66" s="176">
        <v>97</v>
      </c>
      <c r="R66" s="176">
        <v>12</v>
      </c>
      <c r="S66" s="176">
        <v>32</v>
      </c>
      <c r="U66" s="176" t="s">
        <v>60</v>
      </c>
      <c r="V66" s="177">
        <v>164</v>
      </c>
      <c r="W66" s="177">
        <v>12</v>
      </c>
      <c r="X66" s="177">
        <v>32</v>
      </c>
      <c r="Z66" s="180" t="s">
        <v>400</v>
      </c>
      <c r="AA66" s="180" t="s">
        <v>679</v>
      </c>
      <c r="AB66" s="180">
        <v>484.00000000000011</v>
      </c>
      <c r="AC66" s="180" t="s">
        <v>400</v>
      </c>
      <c r="AD66" s="180" t="s">
        <v>679</v>
      </c>
      <c r="AE66" s="180">
        <v>484.00000000000011</v>
      </c>
      <c r="AF66" s="180"/>
      <c r="AG66" s="180"/>
      <c r="AH66" s="180"/>
      <c r="AM66" s="177">
        <v>180</v>
      </c>
      <c r="AN66" s="177">
        <v>48.52</v>
      </c>
      <c r="AQ66" s="247" t="s">
        <v>799</v>
      </c>
      <c r="AZ66" s="120" t="s">
        <v>580</v>
      </c>
      <c r="BE66" s="176"/>
      <c r="BF66" s="211"/>
      <c r="BI66" s="120"/>
      <c r="BJ66" s="210" t="s">
        <v>529</v>
      </c>
      <c r="BK66" s="168">
        <f t="shared" si="5"/>
        <v>209</v>
      </c>
      <c r="BL66" s="183" t="s">
        <v>779</v>
      </c>
      <c r="BM66" s="183" t="s">
        <v>780</v>
      </c>
      <c r="BN66" s="168">
        <f t="shared" si="6"/>
        <v>291</v>
      </c>
      <c r="BO66" s="177">
        <v>50</v>
      </c>
      <c r="BP66" s="177">
        <v>90</v>
      </c>
      <c r="BQ66" s="177">
        <v>59</v>
      </c>
      <c r="BS66" s="210" t="s">
        <v>529</v>
      </c>
      <c r="BT66" s="177">
        <v>150</v>
      </c>
      <c r="BU66" s="177">
        <v>100</v>
      </c>
      <c r="BV66" s="177">
        <v>5510</v>
      </c>
      <c r="BW66" s="177">
        <v>232</v>
      </c>
      <c r="BX66" s="177">
        <v>100</v>
      </c>
      <c r="BY66" s="177">
        <v>7200</v>
      </c>
      <c r="CE66" s="177" t="s">
        <v>500</v>
      </c>
      <c r="CM66" s="120" t="s">
        <v>509</v>
      </c>
      <c r="CN66" s="177" t="s">
        <v>510</v>
      </c>
    </row>
    <row r="67" spans="1:92">
      <c r="A67" s="176"/>
      <c r="B67" s="176"/>
      <c r="C67" s="222" t="s">
        <v>223</v>
      </c>
      <c r="D67" s="222" t="s">
        <v>223</v>
      </c>
      <c r="E67" s="222" t="s">
        <v>398</v>
      </c>
      <c r="F67" s="177" t="s">
        <v>689</v>
      </c>
      <c r="G67" s="176"/>
      <c r="H67" s="176"/>
      <c r="I67" s="176"/>
      <c r="J67" s="176"/>
      <c r="K67" s="176"/>
      <c r="L67" s="176"/>
      <c r="M67" s="176"/>
      <c r="N67" s="176"/>
      <c r="O67" s="176"/>
      <c r="P67" s="176" t="s">
        <v>153</v>
      </c>
      <c r="Q67" s="176">
        <v>100</v>
      </c>
      <c r="R67" s="176">
        <v>20</v>
      </c>
      <c r="S67" s="176">
        <v>32</v>
      </c>
      <c r="U67" s="176" t="s">
        <v>153</v>
      </c>
      <c r="V67" s="177">
        <v>185</v>
      </c>
      <c r="W67" s="177">
        <v>20</v>
      </c>
      <c r="X67" s="177">
        <v>32</v>
      </c>
      <c r="Z67" s="177" t="s">
        <v>556</v>
      </c>
      <c r="AA67" s="177" t="s">
        <v>564</v>
      </c>
      <c r="AB67" s="177">
        <v>39.6</v>
      </c>
      <c r="AC67" s="177" t="s">
        <v>556</v>
      </c>
      <c r="AD67" s="177" t="s">
        <v>564</v>
      </c>
      <c r="AE67" s="177">
        <v>87.12</v>
      </c>
      <c r="AH67" s="180"/>
      <c r="AM67" s="177">
        <v>210</v>
      </c>
      <c r="AN67" s="177">
        <v>52.28</v>
      </c>
      <c r="AQ67" s="248" t="s">
        <v>800</v>
      </c>
      <c r="AZ67" s="120" t="s">
        <v>581</v>
      </c>
      <c r="BE67" s="176"/>
      <c r="BF67" s="211"/>
      <c r="BI67" s="120"/>
      <c r="BJ67" s="175" t="s">
        <v>530</v>
      </c>
      <c r="BK67" s="168">
        <f t="shared" si="5"/>
        <v>126</v>
      </c>
      <c r="BL67" s="211">
        <v>38</v>
      </c>
      <c r="BM67" s="212">
        <v>52</v>
      </c>
      <c r="BN67" s="168">
        <f t="shared" si="6"/>
        <v>163</v>
      </c>
      <c r="BO67" s="168">
        <v>38</v>
      </c>
      <c r="BP67" s="200">
        <v>52</v>
      </c>
      <c r="BQ67" s="177">
        <v>16</v>
      </c>
      <c r="BS67" s="175" t="s">
        <v>530</v>
      </c>
      <c r="BT67" s="177">
        <v>110</v>
      </c>
      <c r="BU67" s="177">
        <v>64</v>
      </c>
      <c r="BV67" s="177">
        <v>958</v>
      </c>
      <c r="BW67" s="177">
        <v>147</v>
      </c>
      <c r="BX67" s="177">
        <v>64</v>
      </c>
      <c r="BY67" s="177">
        <v>1190</v>
      </c>
      <c r="CE67" s="177" t="s">
        <v>502</v>
      </c>
    </row>
    <row r="68" spans="1:92">
      <c r="A68" s="176"/>
      <c r="B68" s="176"/>
      <c r="C68" s="222" t="s">
        <v>224</v>
      </c>
      <c r="D68" s="222" t="s">
        <v>224</v>
      </c>
      <c r="E68" s="222" t="s">
        <v>119</v>
      </c>
      <c r="F68" s="177" t="s">
        <v>690</v>
      </c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Z68" s="177" t="s">
        <v>557</v>
      </c>
      <c r="AA68" s="177" t="s">
        <v>564</v>
      </c>
      <c r="AB68" s="177">
        <v>39.6</v>
      </c>
      <c r="AC68" s="177" t="s">
        <v>557</v>
      </c>
      <c r="AD68" s="177" t="s">
        <v>564</v>
      </c>
      <c r="AE68" s="177">
        <v>87.12</v>
      </c>
      <c r="AH68" s="180"/>
      <c r="AM68" s="177">
        <v>240</v>
      </c>
      <c r="AN68" s="177">
        <v>57.48</v>
      </c>
      <c r="AQ68" s="248" t="s">
        <v>801</v>
      </c>
      <c r="AZ68" s="120" t="s">
        <v>582</v>
      </c>
      <c r="BE68" s="176"/>
      <c r="BF68" s="211"/>
      <c r="BI68" s="120"/>
      <c r="BJ68" s="175" t="s">
        <v>531</v>
      </c>
      <c r="BK68" s="168">
        <f t="shared" si="5"/>
        <v>135</v>
      </c>
      <c r="BL68" s="211">
        <v>38</v>
      </c>
      <c r="BM68" s="212">
        <v>52</v>
      </c>
      <c r="BN68" s="168">
        <f t="shared" si="6"/>
        <v>172</v>
      </c>
      <c r="BO68" s="168">
        <v>38</v>
      </c>
      <c r="BP68" s="200">
        <v>52</v>
      </c>
      <c r="BQ68" s="177">
        <v>25</v>
      </c>
      <c r="BS68" s="175" t="s">
        <v>531</v>
      </c>
      <c r="BT68" s="177">
        <v>110</v>
      </c>
      <c r="BU68" s="177">
        <v>64</v>
      </c>
      <c r="BV68" s="177">
        <v>958</v>
      </c>
      <c r="BW68" s="177">
        <v>147</v>
      </c>
      <c r="BX68" s="177">
        <v>64</v>
      </c>
      <c r="BY68" s="177">
        <v>1190</v>
      </c>
      <c r="CE68" s="177" t="s">
        <v>504</v>
      </c>
    </row>
    <row r="69" spans="1:92">
      <c r="A69" s="176"/>
      <c r="B69" s="176"/>
      <c r="C69" s="222" t="s">
        <v>225</v>
      </c>
      <c r="D69" s="222" t="s">
        <v>225</v>
      </c>
      <c r="E69" s="222" t="s">
        <v>120</v>
      </c>
      <c r="F69" s="177" t="s">
        <v>689</v>
      </c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Z69" s="177" t="s">
        <v>558</v>
      </c>
      <c r="AA69" s="177" t="s">
        <v>565</v>
      </c>
      <c r="AB69" s="177">
        <v>48.400000000000006</v>
      </c>
      <c r="AC69" s="177" t="s">
        <v>558</v>
      </c>
      <c r="AD69" s="177" t="s">
        <v>565</v>
      </c>
      <c r="AE69" s="177">
        <v>106.48000000000002</v>
      </c>
      <c r="AH69" s="180"/>
      <c r="AM69" s="177">
        <v>300</v>
      </c>
      <c r="AN69" s="177">
        <v>76.56</v>
      </c>
      <c r="AQ69" s="248" t="s">
        <v>802</v>
      </c>
      <c r="AZ69" s="120" t="s">
        <v>583</v>
      </c>
      <c r="BE69" s="176"/>
      <c r="BF69" s="211"/>
      <c r="BI69" s="120"/>
      <c r="BJ69" s="175" t="s">
        <v>532</v>
      </c>
      <c r="BK69" s="168">
        <f t="shared" si="5"/>
        <v>158</v>
      </c>
      <c r="BL69" s="211">
        <v>32</v>
      </c>
      <c r="BM69" s="212">
        <v>52</v>
      </c>
      <c r="BN69" s="168">
        <f t="shared" si="6"/>
        <v>195</v>
      </c>
      <c r="BO69" s="168">
        <v>32</v>
      </c>
      <c r="BP69" s="200">
        <v>52</v>
      </c>
      <c r="BQ69" s="177">
        <v>48</v>
      </c>
      <c r="BS69" s="175" t="s">
        <v>532</v>
      </c>
      <c r="BT69" s="177">
        <v>110</v>
      </c>
      <c r="BU69" s="177">
        <v>64</v>
      </c>
      <c r="BV69" s="177">
        <v>958</v>
      </c>
      <c r="BW69" s="177">
        <v>147</v>
      </c>
      <c r="BX69" s="177">
        <v>64</v>
      </c>
      <c r="BY69" s="177">
        <v>1190</v>
      </c>
      <c r="CE69" s="177" t="s">
        <v>506</v>
      </c>
    </row>
    <row r="70" spans="1:92">
      <c r="A70" s="176"/>
      <c r="B70" s="176"/>
      <c r="C70" s="222" t="s">
        <v>9</v>
      </c>
      <c r="D70" s="222" t="s">
        <v>9</v>
      </c>
      <c r="E70" s="222" t="s">
        <v>123</v>
      </c>
      <c r="F70" s="177" t="s">
        <v>690</v>
      </c>
      <c r="G70" s="176"/>
      <c r="H70" s="176"/>
      <c r="I70" s="176"/>
      <c r="J70" s="176"/>
      <c r="K70" s="176"/>
      <c r="L70" s="176"/>
      <c r="M70" s="176"/>
      <c r="N70" s="176"/>
      <c r="O70" s="176"/>
      <c r="P70" s="168" t="s">
        <v>3</v>
      </c>
      <c r="Q70" s="176" t="s">
        <v>41</v>
      </c>
      <c r="R70" s="176" t="s">
        <v>42</v>
      </c>
      <c r="S70" s="176" t="s">
        <v>43</v>
      </c>
      <c r="U70" s="177" t="s">
        <v>3</v>
      </c>
      <c r="V70" s="177" t="s">
        <v>41</v>
      </c>
      <c r="W70" s="177" t="s">
        <v>42</v>
      </c>
      <c r="X70" s="177" t="s">
        <v>43</v>
      </c>
      <c r="Z70" s="177" t="s">
        <v>559</v>
      </c>
      <c r="AA70" s="177" t="s">
        <v>565</v>
      </c>
      <c r="AB70" s="177">
        <v>48.400000000000006</v>
      </c>
      <c r="AC70" s="177" t="s">
        <v>559</v>
      </c>
      <c r="AD70" s="177" t="s">
        <v>565</v>
      </c>
      <c r="AE70" s="177">
        <v>106.48000000000002</v>
      </c>
      <c r="AH70" s="180"/>
      <c r="AM70" s="177">
        <v>360</v>
      </c>
      <c r="AN70" s="177">
        <v>76.56</v>
      </c>
      <c r="AQ70" s="248" t="s">
        <v>803</v>
      </c>
      <c r="AZ70" s="120" t="s">
        <v>584</v>
      </c>
      <c r="BE70" s="176"/>
      <c r="BF70" s="211"/>
      <c r="BI70" s="120"/>
      <c r="BJ70" s="175" t="s">
        <v>533</v>
      </c>
      <c r="BK70" s="168">
        <f t="shared" si="5"/>
        <v>146</v>
      </c>
      <c r="BL70" s="211">
        <v>32</v>
      </c>
      <c r="BM70" s="212">
        <v>75</v>
      </c>
      <c r="BN70" s="168">
        <f t="shared" si="6"/>
        <v>183</v>
      </c>
      <c r="BO70" s="168">
        <v>32</v>
      </c>
      <c r="BP70" s="200">
        <v>75</v>
      </c>
      <c r="BQ70" s="177">
        <v>36</v>
      </c>
      <c r="BS70" s="175" t="s">
        <v>533</v>
      </c>
      <c r="BT70" s="177">
        <v>110</v>
      </c>
      <c r="BU70" s="177">
        <v>64</v>
      </c>
      <c r="BV70" s="177">
        <v>958</v>
      </c>
      <c r="BW70" s="177">
        <v>147</v>
      </c>
      <c r="BX70" s="177">
        <v>64</v>
      </c>
      <c r="BY70" s="177">
        <v>1190</v>
      </c>
      <c r="CE70" s="177" t="s">
        <v>508</v>
      </c>
    </row>
    <row r="71" spans="1:92">
      <c r="C71" s="222" t="s">
        <v>10</v>
      </c>
      <c r="D71" s="222" t="s">
        <v>10</v>
      </c>
      <c r="E71" s="222" t="s">
        <v>124</v>
      </c>
      <c r="F71" s="177" t="s">
        <v>689</v>
      </c>
      <c r="P71" s="168" t="s">
        <v>58</v>
      </c>
      <c r="Q71" s="176">
        <v>0</v>
      </c>
      <c r="R71" s="176">
        <v>0</v>
      </c>
      <c r="S71" s="176">
        <v>0</v>
      </c>
      <c r="U71" s="180" t="s">
        <v>58</v>
      </c>
      <c r="V71" s="177">
        <v>0</v>
      </c>
      <c r="W71" s="177">
        <v>0</v>
      </c>
      <c r="X71" s="177">
        <v>0</v>
      </c>
      <c r="Z71" s="177" t="s">
        <v>560</v>
      </c>
      <c r="AA71" s="177" t="s">
        <v>566</v>
      </c>
      <c r="AB71" s="177">
        <v>57.2</v>
      </c>
      <c r="AC71" s="177" t="s">
        <v>560</v>
      </c>
      <c r="AD71" s="177" t="s">
        <v>566</v>
      </c>
      <c r="AE71" s="177">
        <v>125.84000000000002</v>
      </c>
      <c r="AH71" s="180"/>
      <c r="AM71" s="177">
        <v>420</v>
      </c>
      <c r="AN71" s="177">
        <v>81.760000000000005</v>
      </c>
      <c r="AQ71" s="248" t="s">
        <v>804</v>
      </c>
      <c r="AZ71" s="120" t="s">
        <v>585</v>
      </c>
      <c r="BE71" s="176"/>
      <c r="BF71" s="211"/>
      <c r="BI71" s="120"/>
      <c r="BJ71" s="175" t="s">
        <v>534</v>
      </c>
      <c r="BK71" s="168">
        <f t="shared" si="5"/>
        <v>161</v>
      </c>
      <c r="BL71" s="211">
        <v>38</v>
      </c>
      <c r="BM71" s="212">
        <v>60</v>
      </c>
      <c r="BN71" s="168">
        <f t="shared" si="6"/>
        <v>206</v>
      </c>
      <c r="BO71" s="168">
        <v>38</v>
      </c>
      <c r="BP71" s="200">
        <v>60</v>
      </c>
      <c r="BQ71" s="177">
        <v>19</v>
      </c>
      <c r="BS71" s="175" t="s">
        <v>534</v>
      </c>
      <c r="BT71" s="177">
        <v>142</v>
      </c>
      <c r="BU71" s="177">
        <v>64</v>
      </c>
      <c r="BV71" s="177">
        <v>1582</v>
      </c>
      <c r="BW71" s="177">
        <v>187</v>
      </c>
      <c r="BX71" s="177">
        <v>64</v>
      </c>
      <c r="BY71" s="177">
        <v>1958</v>
      </c>
      <c r="CE71" s="177" t="s">
        <v>510</v>
      </c>
    </row>
    <row r="72" spans="1:92">
      <c r="C72" s="222" t="s">
        <v>26</v>
      </c>
      <c r="D72" s="222" t="s">
        <v>26</v>
      </c>
      <c r="E72" s="222" t="s">
        <v>129</v>
      </c>
      <c r="F72" s="177" t="s">
        <v>688</v>
      </c>
      <c r="P72" s="168" t="s">
        <v>85</v>
      </c>
      <c r="Q72" s="176">
        <v>63</v>
      </c>
      <c r="R72" s="176">
        <v>9.5</v>
      </c>
      <c r="S72" s="176">
        <v>17</v>
      </c>
      <c r="U72" s="180" t="s">
        <v>85</v>
      </c>
      <c r="V72" s="177">
        <v>101</v>
      </c>
      <c r="W72" s="177">
        <v>9</v>
      </c>
      <c r="X72" s="177">
        <v>17</v>
      </c>
      <c r="Z72" s="177" t="s">
        <v>561</v>
      </c>
      <c r="AA72" s="177" t="s">
        <v>566</v>
      </c>
      <c r="AB72" s="177">
        <v>57.2</v>
      </c>
      <c r="AC72" s="177" t="s">
        <v>561</v>
      </c>
      <c r="AD72" s="177" t="s">
        <v>566</v>
      </c>
      <c r="AE72" s="177">
        <v>125.84000000000002</v>
      </c>
      <c r="AH72" s="180"/>
      <c r="AM72" s="177">
        <v>480</v>
      </c>
      <c r="AN72" s="177">
        <v>91</v>
      </c>
      <c r="AQ72" s="248" t="s">
        <v>805</v>
      </c>
      <c r="AZ72" s="119" t="s">
        <v>586</v>
      </c>
      <c r="BE72" s="176"/>
      <c r="BF72" s="211"/>
      <c r="BJ72" s="175" t="s">
        <v>535</v>
      </c>
      <c r="BK72" s="168">
        <f t="shared" si="5"/>
        <v>190</v>
      </c>
      <c r="BL72" s="211">
        <v>32</v>
      </c>
      <c r="BM72" s="212">
        <v>60</v>
      </c>
      <c r="BN72" s="168">
        <f t="shared" si="6"/>
        <v>235</v>
      </c>
      <c r="BO72" s="168">
        <v>32</v>
      </c>
      <c r="BP72" s="200">
        <v>60</v>
      </c>
      <c r="BQ72" s="177">
        <v>48</v>
      </c>
      <c r="BS72" s="175" t="s">
        <v>535</v>
      </c>
      <c r="BT72" s="177">
        <v>142</v>
      </c>
      <c r="BU72" s="177">
        <v>64</v>
      </c>
      <c r="BV72" s="177">
        <v>1582</v>
      </c>
      <c r="BW72" s="177">
        <v>187</v>
      </c>
      <c r="BX72" s="177">
        <v>64</v>
      </c>
      <c r="BY72" s="177">
        <v>1958</v>
      </c>
    </row>
    <row r="73" spans="1:92">
      <c r="C73" s="222" t="s">
        <v>11</v>
      </c>
      <c r="D73" s="222" t="s">
        <v>11</v>
      </c>
      <c r="E73" s="222" t="s">
        <v>130</v>
      </c>
      <c r="F73" s="177" t="s">
        <v>689</v>
      </c>
      <c r="P73" s="168" t="s">
        <v>56</v>
      </c>
      <c r="Q73" s="176">
        <v>78</v>
      </c>
      <c r="R73" s="176">
        <v>9</v>
      </c>
      <c r="S73" s="176">
        <v>17</v>
      </c>
      <c r="U73" s="180" t="s">
        <v>56</v>
      </c>
      <c r="V73" s="177">
        <v>120</v>
      </c>
      <c r="W73" s="177">
        <v>9</v>
      </c>
      <c r="X73" s="177">
        <v>19</v>
      </c>
      <c r="Z73" s="177" t="s">
        <v>562</v>
      </c>
      <c r="AA73" s="177" t="s">
        <v>567</v>
      </c>
      <c r="AB73" s="177">
        <v>74.800000000000011</v>
      </c>
      <c r="AC73" s="177" t="s">
        <v>562</v>
      </c>
      <c r="AD73" s="177" t="s">
        <v>567</v>
      </c>
      <c r="AE73" s="177">
        <v>164.56000000000003</v>
      </c>
      <c r="AH73" s="180"/>
      <c r="AM73" s="177">
        <v>540</v>
      </c>
      <c r="AN73" s="177">
        <v>101</v>
      </c>
      <c r="AQ73" s="248" t="s">
        <v>806</v>
      </c>
      <c r="AZ73" s="119" t="s">
        <v>587</v>
      </c>
      <c r="BE73" s="176"/>
      <c r="BF73" s="211"/>
      <c r="BJ73" s="175" t="s">
        <v>536</v>
      </c>
      <c r="BK73" s="168">
        <f t="shared" si="5"/>
        <v>178</v>
      </c>
      <c r="BL73" s="211">
        <v>32</v>
      </c>
      <c r="BM73" s="212">
        <v>75</v>
      </c>
      <c r="BN73" s="168">
        <f t="shared" si="6"/>
        <v>223</v>
      </c>
      <c r="BO73" s="168">
        <v>32</v>
      </c>
      <c r="BP73" s="200">
        <v>75</v>
      </c>
      <c r="BQ73" s="177">
        <v>36</v>
      </c>
      <c r="BS73" s="175" t="s">
        <v>536</v>
      </c>
      <c r="BT73" s="177">
        <v>142</v>
      </c>
      <c r="BU73" s="177">
        <v>64</v>
      </c>
      <c r="BV73" s="177">
        <v>1582</v>
      </c>
      <c r="BW73" s="177">
        <v>187</v>
      </c>
      <c r="BX73" s="177">
        <v>64</v>
      </c>
      <c r="BY73" s="177">
        <v>1958</v>
      </c>
    </row>
    <row r="74" spans="1:92">
      <c r="C74" s="222" t="s">
        <v>12</v>
      </c>
      <c r="D74" s="222" t="s">
        <v>12</v>
      </c>
      <c r="E74" s="222" t="s">
        <v>134</v>
      </c>
      <c r="F74" s="177" t="s">
        <v>688</v>
      </c>
      <c r="P74" s="168" t="s">
        <v>86</v>
      </c>
      <c r="Q74" s="176">
        <v>113</v>
      </c>
      <c r="R74" s="176">
        <v>12</v>
      </c>
      <c r="S74" s="176">
        <v>32</v>
      </c>
      <c r="U74" s="180" t="s">
        <v>86</v>
      </c>
      <c r="V74" s="177">
        <v>180</v>
      </c>
      <c r="W74" s="177">
        <v>12</v>
      </c>
      <c r="X74" s="177">
        <v>32</v>
      </c>
      <c r="Z74" s="177" t="s">
        <v>563</v>
      </c>
      <c r="AA74" s="177" t="s">
        <v>567</v>
      </c>
      <c r="AB74" s="177">
        <v>74.800000000000011</v>
      </c>
      <c r="AC74" s="177" t="s">
        <v>563</v>
      </c>
      <c r="AD74" s="177" t="s">
        <v>567</v>
      </c>
      <c r="AE74" s="177">
        <v>164.56000000000003</v>
      </c>
      <c r="AH74" s="180"/>
      <c r="AM74" s="177">
        <v>600</v>
      </c>
      <c r="AN74" s="177">
        <v>111</v>
      </c>
      <c r="AQ74" s="248" t="s">
        <v>807</v>
      </c>
      <c r="AZ74" s="120" t="s">
        <v>588</v>
      </c>
      <c r="BE74" s="176"/>
      <c r="BF74" s="211"/>
      <c r="BJ74" s="175" t="s">
        <v>537</v>
      </c>
      <c r="BK74" s="168">
        <f t="shared" si="5"/>
        <v>191</v>
      </c>
      <c r="BL74" s="211">
        <v>32</v>
      </c>
      <c r="BM74" s="212">
        <v>75</v>
      </c>
      <c r="BN74" s="168">
        <f t="shared" si="6"/>
        <v>236</v>
      </c>
      <c r="BO74" s="168">
        <v>32</v>
      </c>
      <c r="BP74" s="200">
        <v>75</v>
      </c>
      <c r="BQ74" s="177">
        <v>49</v>
      </c>
      <c r="BS74" s="175" t="s">
        <v>537</v>
      </c>
      <c r="BT74" s="177">
        <v>142</v>
      </c>
      <c r="BU74" s="177">
        <v>64</v>
      </c>
      <c r="BV74" s="177">
        <v>1582</v>
      </c>
      <c r="BW74" s="177">
        <v>187</v>
      </c>
      <c r="BX74" s="177">
        <v>64</v>
      </c>
      <c r="BY74" s="177">
        <v>1958</v>
      </c>
    </row>
    <row r="75" spans="1:92">
      <c r="C75" s="222" t="s">
        <v>13</v>
      </c>
      <c r="D75" s="222" t="s">
        <v>13</v>
      </c>
      <c r="E75" s="222" t="s">
        <v>399</v>
      </c>
      <c r="F75" s="177" t="s">
        <v>689</v>
      </c>
      <c r="P75" s="168" t="s">
        <v>103</v>
      </c>
      <c r="Q75" s="176">
        <v>130</v>
      </c>
      <c r="R75" s="176">
        <v>40</v>
      </c>
      <c r="S75" s="176">
        <v>32</v>
      </c>
      <c r="U75" s="180" t="s">
        <v>103</v>
      </c>
      <c r="V75" s="177">
        <v>185</v>
      </c>
      <c r="W75" s="177">
        <v>20</v>
      </c>
      <c r="X75" s="177">
        <v>32</v>
      </c>
      <c r="Z75" s="180" t="s">
        <v>150</v>
      </c>
      <c r="AA75" s="180">
        <v>0</v>
      </c>
      <c r="AB75" s="180">
        <v>0</v>
      </c>
      <c r="AC75" s="180" t="s">
        <v>150</v>
      </c>
      <c r="AD75" s="180">
        <v>0</v>
      </c>
      <c r="AE75" s="180">
        <v>0</v>
      </c>
      <c r="AH75" s="180"/>
      <c r="AM75" s="177">
        <v>660</v>
      </c>
      <c r="AN75" s="177">
        <v>121</v>
      </c>
      <c r="AQ75" s="248" t="s">
        <v>808</v>
      </c>
      <c r="AZ75" s="120" t="s">
        <v>589</v>
      </c>
      <c r="BE75" s="176"/>
      <c r="BF75" s="211"/>
      <c r="BJ75" s="175" t="s">
        <v>538</v>
      </c>
      <c r="BK75" s="168">
        <f t="shared" si="5"/>
        <v>238</v>
      </c>
      <c r="BL75" s="211">
        <v>44</v>
      </c>
      <c r="BM75" s="212">
        <v>75</v>
      </c>
      <c r="BN75" s="168">
        <f t="shared" si="6"/>
        <v>305</v>
      </c>
      <c r="BO75" s="168">
        <v>44</v>
      </c>
      <c r="BP75" s="200">
        <v>75</v>
      </c>
      <c r="BQ75" s="177">
        <v>36</v>
      </c>
      <c r="BS75" s="175" t="s">
        <v>538</v>
      </c>
      <c r="BT75" s="177">
        <v>202</v>
      </c>
      <c r="BU75" s="177">
        <v>88</v>
      </c>
      <c r="BV75" s="177">
        <v>3017</v>
      </c>
      <c r="BW75" s="177">
        <v>269</v>
      </c>
      <c r="BX75" s="177">
        <v>88</v>
      </c>
      <c r="BY75" s="177">
        <v>4067</v>
      </c>
    </row>
    <row r="76" spans="1:92">
      <c r="C76" s="222" t="s">
        <v>94</v>
      </c>
      <c r="D76" s="222" t="s">
        <v>94</v>
      </c>
      <c r="E76" s="222" t="s">
        <v>141</v>
      </c>
      <c r="F76" s="177" t="s">
        <v>689</v>
      </c>
      <c r="P76" s="176" t="s">
        <v>61</v>
      </c>
      <c r="Q76" s="177">
        <f>Q72+12</f>
        <v>75</v>
      </c>
      <c r="R76" s="176">
        <v>9.5</v>
      </c>
      <c r="S76" s="176">
        <v>17</v>
      </c>
      <c r="U76" s="176" t="s">
        <v>61</v>
      </c>
      <c r="V76" s="177">
        <f>V72+12</f>
        <v>113</v>
      </c>
      <c r="W76" s="177">
        <v>9</v>
      </c>
      <c r="X76" s="177">
        <v>17</v>
      </c>
      <c r="AH76" s="180"/>
      <c r="AM76" s="177">
        <v>720</v>
      </c>
      <c r="AN76" s="177">
        <f>4057*0.04</f>
        <v>162.28</v>
      </c>
      <c r="AQ76" s="248" t="s">
        <v>809</v>
      </c>
      <c r="AZ76" s="120" t="s">
        <v>590</v>
      </c>
      <c r="BE76" s="176"/>
      <c r="BF76" s="211"/>
      <c r="BJ76" s="175" t="s">
        <v>539</v>
      </c>
      <c r="BK76" s="168">
        <f t="shared" si="5"/>
        <v>251</v>
      </c>
      <c r="BL76" s="211">
        <v>44</v>
      </c>
      <c r="BM76" s="212">
        <v>75</v>
      </c>
      <c r="BN76" s="168">
        <f t="shared" si="6"/>
        <v>318</v>
      </c>
      <c r="BO76" s="168">
        <v>44</v>
      </c>
      <c r="BP76" s="200">
        <v>75</v>
      </c>
      <c r="BQ76" s="177">
        <v>49</v>
      </c>
      <c r="BS76" s="175" t="s">
        <v>539</v>
      </c>
      <c r="BT76" s="177">
        <v>202</v>
      </c>
      <c r="BU76" s="177">
        <v>88</v>
      </c>
      <c r="BV76" s="177">
        <v>3017</v>
      </c>
      <c r="BW76" s="177">
        <v>269</v>
      </c>
      <c r="BX76" s="177">
        <v>88</v>
      </c>
      <c r="BY76" s="177">
        <v>4067</v>
      </c>
    </row>
    <row r="77" spans="1:92">
      <c r="C77" s="222" t="s">
        <v>27</v>
      </c>
      <c r="D77" s="222" t="s">
        <v>27</v>
      </c>
      <c r="E77" s="222" t="s">
        <v>142</v>
      </c>
      <c r="F77" s="177" t="s">
        <v>689</v>
      </c>
      <c r="P77" s="176" t="s">
        <v>66</v>
      </c>
      <c r="Q77" s="177">
        <f>Q73+18</f>
        <v>96</v>
      </c>
      <c r="R77" s="176">
        <v>9</v>
      </c>
      <c r="S77" s="176">
        <v>17</v>
      </c>
      <c r="U77" s="176" t="s">
        <v>66</v>
      </c>
      <c r="V77" s="177">
        <f>V73+18</f>
        <v>138</v>
      </c>
      <c r="W77" s="177">
        <v>9</v>
      </c>
      <c r="X77" s="177">
        <v>19</v>
      </c>
      <c r="AH77" s="180"/>
      <c r="AM77" s="177">
        <v>780</v>
      </c>
      <c r="AN77" s="177">
        <v>162</v>
      </c>
      <c r="AQ77" s="248" t="s">
        <v>810</v>
      </c>
      <c r="AZ77" s="120" t="s">
        <v>591</v>
      </c>
      <c r="BE77" s="176"/>
      <c r="BF77" s="211"/>
      <c r="BJ77" s="175" t="s">
        <v>540</v>
      </c>
      <c r="BK77" s="168">
        <f t="shared" si="5"/>
        <v>261</v>
      </c>
      <c r="BL77" s="211">
        <v>44</v>
      </c>
      <c r="BM77" s="212">
        <v>75</v>
      </c>
      <c r="BN77" s="168">
        <f t="shared" si="6"/>
        <v>328</v>
      </c>
      <c r="BO77" s="168">
        <v>44</v>
      </c>
      <c r="BP77" s="200">
        <v>75</v>
      </c>
      <c r="BQ77" s="177">
        <v>59</v>
      </c>
      <c r="BS77" s="175" t="s">
        <v>540</v>
      </c>
      <c r="BT77" s="177">
        <v>202</v>
      </c>
      <c r="BU77" s="177">
        <v>88</v>
      </c>
      <c r="BV77" s="177">
        <v>3017</v>
      </c>
      <c r="BW77" s="177">
        <v>269</v>
      </c>
      <c r="BX77" s="177">
        <v>88</v>
      </c>
      <c r="BY77" s="177">
        <v>4067</v>
      </c>
    </row>
    <row r="78" spans="1:92">
      <c r="C78" s="222" t="s">
        <v>14</v>
      </c>
      <c r="D78" s="222" t="s">
        <v>14</v>
      </c>
      <c r="E78" s="222" t="s">
        <v>143</v>
      </c>
      <c r="F78" s="177" t="s">
        <v>691</v>
      </c>
      <c r="P78" s="176" t="s">
        <v>60</v>
      </c>
      <c r="Q78" s="177">
        <f>Q74+24</f>
        <v>137</v>
      </c>
      <c r="R78" s="176">
        <v>12</v>
      </c>
      <c r="S78" s="176">
        <v>32</v>
      </c>
      <c r="U78" s="176" t="s">
        <v>60</v>
      </c>
      <c r="V78" s="177">
        <f>V74+24</f>
        <v>204</v>
      </c>
      <c r="W78" s="177">
        <v>12</v>
      </c>
      <c r="X78" s="177">
        <v>32</v>
      </c>
      <c r="AH78" s="180"/>
      <c r="AM78" s="177">
        <v>840</v>
      </c>
      <c r="AN78" s="177">
        <v>162</v>
      </c>
      <c r="AQ78" s="248" t="s">
        <v>811</v>
      </c>
      <c r="AZ78" s="120" t="s">
        <v>592</v>
      </c>
      <c r="BE78" s="176"/>
      <c r="BF78" s="176"/>
      <c r="BJ78" s="177" t="s">
        <v>776</v>
      </c>
      <c r="BK78" s="168">
        <f t="shared" si="5"/>
        <v>0</v>
      </c>
      <c r="BS78" s="177" t="s">
        <v>776</v>
      </c>
    </row>
    <row r="79" spans="1:92">
      <c r="C79" s="222" t="s">
        <v>15</v>
      </c>
      <c r="D79" s="222" t="s">
        <v>15</v>
      </c>
      <c r="E79" s="222" t="s">
        <v>144</v>
      </c>
      <c r="F79" s="177" t="s">
        <v>689</v>
      </c>
      <c r="P79" s="176" t="s">
        <v>153</v>
      </c>
      <c r="Q79" s="176">
        <v>180</v>
      </c>
      <c r="R79" s="176">
        <v>20</v>
      </c>
      <c r="S79" s="176">
        <v>32</v>
      </c>
      <c r="U79" s="176" t="s">
        <v>153</v>
      </c>
      <c r="V79" s="177">
        <v>260</v>
      </c>
      <c r="W79" s="177">
        <v>20</v>
      </c>
      <c r="X79" s="177">
        <v>32</v>
      </c>
      <c r="AH79" s="180"/>
      <c r="AQ79" s="248" t="s">
        <v>812</v>
      </c>
      <c r="AZ79" s="120" t="s">
        <v>593</v>
      </c>
      <c r="BE79" s="176"/>
      <c r="BF79" s="211"/>
      <c r="BJ79" s="175" t="s">
        <v>541</v>
      </c>
      <c r="BK79" s="168">
        <f t="shared" si="5"/>
        <v>250</v>
      </c>
      <c r="BL79" s="183" t="s">
        <v>779</v>
      </c>
      <c r="BM79" s="183" t="s">
        <v>780</v>
      </c>
      <c r="BN79" s="168">
        <f>BW79+BQ79</f>
        <v>333</v>
      </c>
      <c r="BO79" s="177">
        <v>50</v>
      </c>
      <c r="BP79" s="177">
        <v>90</v>
      </c>
      <c r="BQ79" s="177">
        <v>49</v>
      </c>
      <c r="BS79" s="175" t="s">
        <v>541</v>
      </c>
      <c r="BT79" s="177">
        <v>201</v>
      </c>
      <c r="BU79" s="177">
        <v>100</v>
      </c>
      <c r="BV79" s="177">
        <v>5510</v>
      </c>
      <c r="BW79" s="177">
        <v>284</v>
      </c>
      <c r="BX79" s="177">
        <v>100</v>
      </c>
      <c r="BY79" s="177">
        <v>7200</v>
      </c>
    </row>
    <row r="80" spans="1:92">
      <c r="C80" s="222" t="s">
        <v>91</v>
      </c>
      <c r="D80" s="222" t="s">
        <v>91</v>
      </c>
      <c r="E80" s="222" t="s">
        <v>145</v>
      </c>
      <c r="F80" s="177" t="s">
        <v>689</v>
      </c>
      <c r="AH80" s="180"/>
      <c r="AQ80" s="248" t="s">
        <v>813</v>
      </c>
      <c r="AZ80" s="120" t="s">
        <v>594</v>
      </c>
      <c r="BE80" s="176"/>
      <c r="BF80" s="211"/>
      <c r="BJ80" s="175" t="s">
        <v>542</v>
      </c>
      <c r="BK80" s="168">
        <f t="shared" si="5"/>
        <v>260</v>
      </c>
      <c r="BL80" s="183" t="s">
        <v>779</v>
      </c>
      <c r="BM80" s="183" t="s">
        <v>780</v>
      </c>
      <c r="BN80" s="168">
        <f>BW80+BQ80</f>
        <v>343</v>
      </c>
      <c r="BO80" s="177">
        <v>50</v>
      </c>
      <c r="BP80" s="177">
        <v>90</v>
      </c>
      <c r="BQ80" s="177">
        <v>59</v>
      </c>
      <c r="BS80" s="175" t="s">
        <v>542</v>
      </c>
      <c r="BT80" s="177">
        <v>201</v>
      </c>
      <c r="BU80" s="177">
        <v>100</v>
      </c>
      <c r="BV80" s="177">
        <v>5510</v>
      </c>
      <c r="BW80" s="177">
        <v>284</v>
      </c>
      <c r="BX80" s="177">
        <v>100</v>
      </c>
      <c r="BY80" s="177">
        <v>7200</v>
      </c>
    </row>
    <row r="81" spans="3:77">
      <c r="C81" s="222" t="s">
        <v>16</v>
      </c>
      <c r="D81" s="222" t="s">
        <v>16</v>
      </c>
      <c r="E81" s="222" t="s">
        <v>146</v>
      </c>
      <c r="F81" s="177" t="s">
        <v>689</v>
      </c>
      <c r="AH81" s="180"/>
      <c r="AQ81" s="248" t="s">
        <v>814</v>
      </c>
      <c r="AZ81" s="120" t="s">
        <v>595</v>
      </c>
      <c r="BE81" s="176"/>
      <c r="BF81" s="176"/>
      <c r="BJ81" s="177" t="s">
        <v>771</v>
      </c>
      <c r="BK81" s="199">
        <v>0</v>
      </c>
      <c r="BL81" s="168">
        <v>0</v>
      </c>
      <c r="BM81" s="200">
        <v>0</v>
      </c>
      <c r="BN81" s="199">
        <v>0</v>
      </c>
      <c r="BO81" s="168">
        <v>0</v>
      </c>
      <c r="BP81" s="200">
        <v>0</v>
      </c>
      <c r="BS81" s="177" t="s">
        <v>771</v>
      </c>
      <c r="BT81" s="177">
        <v>110</v>
      </c>
      <c r="BU81" s="177">
        <v>64</v>
      </c>
      <c r="BV81" s="177">
        <v>958</v>
      </c>
      <c r="BW81" s="177">
        <v>147</v>
      </c>
      <c r="BX81" s="177">
        <v>64</v>
      </c>
      <c r="BY81" s="177">
        <v>1190</v>
      </c>
    </row>
    <row r="82" spans="3:77">
      <c r="C82" s="222" t="s">
        <v>17</v>
      </c>
      <c r="D82" s="222" t="s">
        <v>17</v>
      </c>
      <c r="E82" s="222" t="s">
        <v>147</v>
      </c>
      <c r="F82" s="177" t="s">
        <v>689</v>
      </c>
      <c r="P82" s="168" t="s">
        <v>191</v>
      </c>
      <c r="Q82" s="176" t="s">
        <v>41</v>
      </c>
      <c r="R82" s="176" t="s">
        <v>42</v>
      </c>
      <c r="S82" s="176" t="s">
        <v>43</v>
      </c>
      <c r="U82" s="180" t="s">
        <v>191</v>
      </c>
      <c r="V82" s="177" t="s">
        <v>41</v>
      </c>
      <c r="W82" s="177" t="s">
        <v>42</v>
      </c>
      <c r="X82" s="177" t="s">
        <v>43</v>
      </c>
      <c r="AH82" s="180"/>
      <c r="AQ82" s="248" t="s">
        <v>815</v>
      </c>
      <c r="AZ82" s="120" t="s">
        <v>596</v>
      </c>
      <c r="BJ82" s="177" t="s">
        <v>772</v>
      </c>
      <c r="BK82" s="199">
        <v>0</v>
      </c>
      <c r="BL82" s="168">
        <v>0</v>
      </c>
      <c r="BM82" s="200">
        <v>0</v>
      </c>
      <c r="BN82" s="199">
        <v>0</v>
      </c>
      <c r="BO82" s="168">
        <v>0</v>
      </c>
      <c r="BP82" s="200">
        <v>0</v>
      </c>
      <c r="BS82" s="177" t="s">
        <v>772</v>
      </c>
      <c r="BT82" s="177">
        <v>142</v>
      </c>
      <c r="BU82" s="177">
        <v>64</v>
      </c>
      <c r="BV82" s="177">
        <v>1582</v>
      </c>
      <c r="BW82" s="177">
        <v>187</v>
      </c>
      <c r="BX82" s="177">
        <v>64</v>
      </c>
      <c r="BY82" s="177">
        <v>1958</v>
      </c>
    </row>
    <row r="83" spans="3:77">
      <c r="C83" s="222" t="s">
        <v>219</v>
      </c>
      <c r="D83" s="222" t="s">
        <v>219</v>
      </c>
      <c r="E83" s="222" t="s">
        <v>148</v>
      </c>
      <c r="F83" s="177" t="s">
        <v>691</v>
      </c>
      <c r="P83" s="168" t="s">
        <v>58</v>
      </c>
      <c r="Q83" s="176">
        <v>70</v>
      </c>
      <c r="R83" s="176">
        <v>14</v>
      </c>
      <c r="S83" s="176">
        <v>35</v>
      </c>
      <c r="U83" s="180" t="s">
        <v>58</v>
      </c>
      <c r="V83" s="177">
        <v>105</v>
      </c>
      <c r="W83" s="177">
        <v>14</v>
      </c>
      <c r="X83" s="177">
        <v>37</v>
      </c>
      <c r="AH83" s="180"/>
      <c r="AZ83" s="120" t="s">
        <v>597</v>
      </c>
      <c r="BJ83" s="177" t="s">
        <v>773</v>
      </c>
      <c r="BK83" s="199">
        <v>0</v>
      </c>
      <c r="BL83" s="168">
        <v>0</v>
      </c>
      <c r="BM83" s="200">
        <v>0</v>
      </c>
      <c r="BN83" s="199">
        <v>0</v>
      </c>
      <c r="BO83" s="168">
        <v>0</v>
      </c>
      <c r="BP83" s="200">
        <v>0</v>
      </c>
      <c r="BS83" s="177" t="s">
        <v>773</v>
      </c>
      <c r="BT83" s="177">
        <v>202</v>
      </c>
      <c r="BU83" s="177">
        <v>88</v>
      </c>
      <c r="BV83" s="177">
        <v>3017</v>
      </c>
      <c r="BW83" s="177">
        <v>269</v>
      </c>
      <c r="BX83" s="177">
        <v>88</v>
      </c>
      <c r="BY83" s="177">
        <v>4067</v>
      </c>
    </row>
    <row r="84" spans="3:77">
      <c r="C84" s="222" t="s">
        <v>220</v>
      </c>
      <c r="D84" s="222" t="s">
        <v>220</v>
      </c>
      <c r="E84" s="222" t="s">
        <v>149</v>
      </c>
      <c r="F84" s="177" t="s">
        <v>689</v>
      </c>
      <c r="P84" s="168" t="s">
        <v>85</v>
      </c>
      <c r="Q84" s="176">
        <v>82</v>
      </c>
      <c r="R84" s="176">
        <v>13</v>
      </c>
      <c r="S84" s="176">
        <v>43</v>
      </c>
      <c r="U84" s="180" t="s">
        <v>85</v>
      </c>
      <c r="V84" s="177">
        <v>119</v>
      </c>
      <c r="W84" s="177">
        <v>13</v>
      </c>
      <c r="X84" s="177">
        <v>43</v>
      </c>
      <c r="AH84" s="180"/>
      <c r="AZ84" s="120" t="s">
        <v>598</v>
      </c>
      <c r="BJ84" s="177" t="s">
        <v>774</v>
      </c>
      <c r="BK84" s="199">
        <v>0</v>
      </c>
      <c r="BL84" s="168">
        <v>0</v>
      </c>
      <c r="BM84" s="200">
        <v>0</v>
      </c>
      <c r="BN84" s="199">
        <v>0</v>
      </c>
      <c r="BO84" s="168">
        <v>0</v>
      </c>
      <c r="BP84" s="200">
        <v>0</v>
      </c>
      <c r="BS84" s="177" t="s">
        <v>774</v>
      </c>
      <c r="BT84" s="177">
        <v>201</v>
      </c>
      <c r="BU84" s="177">
        <v>100</v>
      </c>
      <c r="BV84" s="177">
        <v>5510</v>
      </c>
      <c r="BW84" s="177">
        <v>284</v>
      </c>
      <c r="BX84" s="177">
        <v>100</v>
      </c>
      <c r="BY84" s="177">
        <v>7200</v>
      </c>
    </row>
    <row r="85" spans="3:77">
      <c r="C85" s="222" t="s">
        <v>204</v>
      </c>
      <c r="D85" s="222" t="s">
        <v>757</v>
      </c>
      <c r="E85" s="222" t="s">
        <v>400</v>
      </c>
      <c r="F85" s="177" t="s">
        <v>689</v>
      </c>
      <c r="P85" s="168" t="s">
        <v>56</v>
      </c>
      <c r="Q85" s="176">
        <v>96.25</v>
      </c>
      <c r="R85" s="176">
        <v>21.5</v>
      </c>
      <c r="S85" s="176">
        <v>44.5</v>
      </c>
      <c r="U85" s="180" t="s">
        <v>56</v>
      </c>
      <c r="V85" s="177">
        <v>140.5</v>
      </c>
      <c r="W85" s="177">
        <v>21</v>
      </c>
      <c r="X85" s="177">
        <v>45</v>
      </c>
      <c r="AH85" s="180"/>
    </row>
    <row r="86" spans="3:77">
      <c r="C86" s="222" t="s">
        <v>544</v>
      </c>
      <c r="D86" s="222" t="s">
        <v>758</v>
      </c>
      <c r="E86" s="222"/>
      <c r="P86" s="168" t="s">
        <v>86</v>
      </c>
      <c r="Q86" s="176">
        <v>148</v>
      </c>
      <c r="R86" s="176">
        <v>44</v>
      </c>
      <c r="S86" s="176">
        <v>45</v>
      </c>
      <c r="U86" s="180" t="s">
        <v>86</v>
      </c>
      <c r="V86" s="177">
        <v>215</v>
      </c>
      <c r="W86" s="177">
        <v>44</v>
      </c>
      <c r="X86" s="177">
        <v>45</v>
      </c>
      <c r="AH86" s="180"/>
    </row>
    <row r="87" spans="3:77">
      <c r="C87" s="222" t="s">
        <v>545</v>
      </c>
      <c r="D87" s="222" t="s">
        <v>759</v>
      </c>
      <c r="P87" s="168" t="s">
        <v>103</v>
      </c>
      <c r="Q87" s="176">
        <v>182</v>
      </c>
      <c r="R87" s="176">
        <v>64</v>
      </c>
      <c r="S87" s="176">
        <v>45</v>
      </c>
      <c r="U87" s="180" t="s">
        <v>103</v>
      </c>
      <c r="V87" s="177">
        <v>268</v>
      </c>
      <c r="W87" s="177">
        <v>64</v>
      </c>
      <c r="X87" s="177">
        <v>45</v>
      </c>
      <c r="AH87" s="180"/>
    </row>
    <row r="88" spans="3:77">
      <c r="C88" s="222" t="s">
        <v>546</v>
      </c>
      <c r="D88" s="222" t="s">
        <v>760</v>
      </c>
      <c r="E88" s="120"/>
      <c r="P88" s="176" t="s">
        <v>61</v>
      </c>
      <c r="Q88" s="177">
        <f>Q83+34</f>
        <v>104</v>
      </c>
      <c r="R88" s="176">
        <v>13</v>
      </c>
      <c r="S88" s="176">
        <v>43</v>
      </c>
      <c r="U88" s="176" t="s">
        <v>61</v>
      </c>
      <c r="V88" s="177">
        <f>V84+34</f>
        <v>153</v>
      </c>
      <c r="W88" s="177">
        <v>13</v>
      </c>
      <c r="X88" s="177">
        <v>43</v>
      </c>
      <c r="AH88" s="180"/>
    </row>
    <row r="89" spans="3:77">
      <c r="C89" s="222" t="s">
        <v>547</v>
      </c>
      <c r="D89" s="222" t="s">
        <v>761</v>
      </c>
      <c r="E89" s="120"/>
      <c r="P89" s="176" t="s">
        <v>66</v>
      </c>
      <c r="Q89" s="176">
        <f>Q85+52</f>
        <v>148.25</v>
      </c>
      <c r="R89" s="176">
        <v>21.5</v>
      </c>
      <c r="S89" s="176">
        <v>44.5</v>
      </c>
      <c r="U89" s="176" t="s">
        <v>66</v>
      </c>
      <c r="V89" s="177">
        <f>V85+52</f>
        <v>192.5</v>
      </c>
      <c r="W89" s="177">
        <v>21</v>
      </c>
      <c r="X89" s="177">
        <v>45</v>
      </c>
      <c r="AH89" s="180"/>
    </row>
    <row r="90" spans="3:77">
      <c r="C90" s="222" t="s">
        <v>548</v>
      </c>
      <c r="D90" s="222" t="s">
        <v>762</v>
      </c>
      <c r="E90" s="120"/>
      <c r="P90" s="176" t="s">
        <v>60</v>
      </c>
      <c r="Q90" s="177">
        <f>Q86+60</f>
        <v>208</v>
      </c>
      <c r="R90" s="176">
        <v>44</v>
      </c>
      <c r="S90" s="176">
        <v>45</v>
      </c>
      <c r="U90" s="176" t="s">
        <v>60</v>
      </c>
      <c r="V90" s="177">
        <f>V86+60</f>
        <v>275</v>
      </c>
      <c r="W90" s="177">
        <v>44</v>
      </c>
      <c r="X90" s="177">
        <v>45</v>
      </c>
      <c r="AH90" s="180"/>
    </row>
    <row r="91" spans="3:77">
      <c r="C91" s="222" t="s">
        <v>549</v>
      </c>
      <c r="D91" s="222" t="s">
        <v>763</v>
      </c>
      <c r="E91" s="120"/>
      <c r="P91" s="176" t="s">
        <v>153</v>
      </c>
      <c r="Q91" s="177">
        <v>240</v>
      </c>
      <c r="R91" s="176">
        <v>64</v>
      </c>
      <c r="S91" s="176">
        <v>45</v>
      </c>
      <c r="U91" s="176" t="s">
        <v>153</v>
      </c>
      <c r="V91" s="177">
        <v>320</v>
      </c>
      <c r="W91" s="177">
        <v>64</v>
      </c>
      <c r="X91" s="177">
        <v>45</v>
      </c>
      <c r="AH91" s="180"/>
    </row>
    <row r="92" spans="3:77">
      <c r="C92" s="222" t="s">
        <v>550</v>
      </c>
      <c r="D92" s="222" t="s">
        <v>764</v>
      </c>
      <c r="E92" s="120"/>
      <c r="AH92" s="180"/>
    </row>
    <row r="93" spans="3:77">
      <c r="C93" s="222" t="s">
        <v>551</v>
      </c>
      <c r="D93" s="222" t="s">
        <v>765</v>
      </c>
      <c r="E93" s="120"/>
      <c r="AH93" s="180"/>
    </row>
    <row r="94" spans="3:77">
      <c r="C94" s="222" t="s">
        <v>552</v>
      </c>
      <c r="D94" s="222" t="s">
        <v>766</v>
      </c>
      <c r="P94" s="223" t="s">
        <v>211</v>
      </c>
      <c r="Q94" s="176" t="s">
        <v>41</v>
      </c>
      <c r="R94" s="176" t="s">
        <v>42</v>
      </c>
      <c r="S94" s="176" t="s">
        <v>43</v>
      </c>
      <c r="U94" s="181" t="s">
        <v>212</v>
      </c>
      <c r="V94" s="177" t="s">
        <v>41</v>
      </c>
      <c r="W94" s="177" t="s">
        <v>42</v>
      </c>
      <c r="X94" s="177" t="s">
        <v>43</v>
      </c>
      <c r="AH94" s="180"/>
    </row>
    <row r="95" spans="3:77">
      <c r="C95" s="222" t="s">
        <v>553</v>
      </c>
      <c r="D95" s="222" t="s">
        <v>767</v>
      </c>
      <c r="P95" s="168" t="s">
        <v>58</v>
      </c>
      <c r="Q95" s="176">
        <v>36</v>
      </c>
      <c r="R95" s="176">
        <v>32</v>
      </c>
      <c r="S95" s="176">
        <v>45</v>
      </c>
      <c r="U95" s="180" t="s">
        <v>58</v>
      </c>
      <c r="V95" s="177">
        <v>60</v>
      </c>
      <c r="W95" s="177">
        <v>32</v>
      </c>
      <c r="X95" s="177">
        <v>45</v>
      </c>
      <c r="AH95" s="180"/>
    </row>
    <row r="96" spans="3:77">
      <c r="C96" s="222" t="s">
        <v>554</v>
      </c>
      <c r="D96" s="222" t="s">
        <v>768</v>
      </c>
      <c r="P96" s="168" t="s">
        <v>85</v>
      </c>
      <c r="Q96" s="176">
        <v>38</v>
      </c>
      <c r="R96" s="176">
        <v>32</v>
      </c>
      <c r="S96" s="176">
        <v>45</v>
      </c>
      <c r="U96" s="180" t="s">
        <v>85</v>
      </c>
      <c r="V96" s="177">
        <v>70</v>
      </c>
      <c r="W96" s="177">
        <v>32</v>
      </c>
      <c r="X96" s="177">
        <v>45</v>
      </c>
      <c r="AH96" s="180"/>
    </row>
    <row r="97" spans="3:34">
      <c r="C97" s="222" t="s">
        <v>555</v>
      </c>
      <c r="D97" s="222" t="s">
        <v>769</v>
      </c>
      <c r="P97" s="168" t="s">
        <v>56</v>
      </c>
      <c r="Q97" s="176">
        <v>38</v>
      </c>
      <c r="R97" s="176">
        <v>32</v>
      </c>
      <c r="S97" s="176">
        <v>45</v>
      </c>
      <c r="U97" s="180" t="s">
        <v>56</v>
      </c>
      <c r="V97" s="177">
        <v>80</v>
      </c>
      <c r="W97" s="177">
        <v>32</v>
      </c>
      <c r="X97" s="177">
        <v>45</v>
      </c>
      <c r="AH97" s="180"/>
    </row>
    <row r="98" spans="3:34">
      <c r="C98" s="177" t="s">
        <v>771</v>
      </c>
      <c r="D98" s="177" t="s">
        <v>784</v>
      </c>
      <c r="P98" s="168" t="s">
        <v>86</v>
      </c>
      <c r="Q98" s="176">
        <v>55</v>
      </c>
      <c r="R98" s="176">
        <v>44</v>
      </c>
      <c r="S98" s="176">
        <v>65</v>
      </c>
      <c r="U98" s="180" t="s">
        <v>86</v>
      </c>
      <c r="V98" s="177">
        <v>118</v>
      </c>
      <c r="W98" s="177">
        <v>44</v>
      </c>
      <c r="X98" s="177">
        <v>65</v>
      </c>
      <c r="AH98" s="180"/>
    </row>
    <row r="99" spans="3:34">
      <c r="C99" s="177" t="s">
        <v>772</v>
      </c>
      <c r="D99" s="177" t="s">
        <v>783</v>
      </c>
      <c r="P99" s="168" t="s">
        <v>103</v>
      </c>
      <c r="Q99" s="176">
        <v>75</v>
      </c>
      <c r="R99" s="176">
        <v>65</v>
      </c>
      <c r="S99" s="176">
        <v>77</v>
      </c>
      <c r="U99" s="180" t="s">
        <v>103</v>
      </c>
      <c r="V99" s="177">
        <v>100</v>
      </c>
      <c r="W99" s="177">
        <v>65</v>
      </c>
      <c r="X99" s="177">
        <v>77</v>
      </c>
      <c r="AH99" s="180"/>
    </row>
    <row r="100" spans="3:34">
      <c r="C100" s="177" t="s">
        <v>773</v>
      </c>
      <c r="D100" s="177" t="s">
        <v>782</v>
      </c>
      <c r="P100" s="176" t="s">
        <v>61</v>
      </c>
      <c r="Q100" s="176">
        <v>55</v>
      </c>
      <c r="R100" s="176">
        <v>32</v>
      </c>
      <c r="S100" s="176">
        <v>45</v>
      </c>
      <c r="U100" s="176" t="s">
        <v>61</v>
      </c>
      <c r="V100" s="177">
        <v>87</v>
      </c>
      <c r="W100" s="176">
        <v>32</v>
      </c>
      <c r="X100" s="176">
        <v>45</v>
      </c>
      <c r="AH100" s="180"/>
    </row>
    <row r="101" spans="3:34">
      <c r="C101" s="177" t="s">
        <v>774</v>
      </c>
      <c r="D101" s="177" t="s">
        <v>781</v>
      </c>
      <c r="P101" s="177" t="s">
        <v>66</v>
      </c>
      <c r="Q101" s="177">
        <v>64</v>
      </c>
      <c r="R101" s="177">
        <v>32</v>
      </c>
      <c r="S101" s="177">
        <v>45</v>
      </c>
      <c r="U101" s="177" t="s">
        <v>66</v>
      </c>
      <c r="V101" s="177">
        <v>106</v>
      </c>
      <c r="W101" s="177">
        <v>32</v>
      </c>
      <c r="X101" s="177">
        <v>45</v>
      </c>
      <c r="AH101" s="180"/>
    </row>
    <row r="102" spans="3:34">
      <c r="P102" s="177" t="s">
        <v>60</v>
      </c>
      <c r="Q102" s="177">
        <v>86</v>
      </c>
      <c r="R102" s="177">
        <v>44</v>
      </c>
      <c r="S102" s="177">
        <v>45</v>
      </c>
      <c r="U102" s="177" t="s">
        <v>60</v>
      </c>
      <c r="V102" s="177">
        <v>153</v>
      </c>
      <c r="W102" s="177">
        <v>44</v>
      </c>
      <c r="X102" s="177">
        <v>45</v>
      </c>
      <c r="AH102" s="180"/>
    </row>
    <row r="103" spans="3:34">
      <c r="P103" s="177" t="s">
        <v>153</v>
      </c>
      <c r="Q103" s="177">
        <v>102</v>
      </c>
      <c r="R103" s="177">
        <v>65</v>
      </c>
      <c r="S103" s="177">
        <v>77</v>
      </c>
      <c r="U103" s="177" t="s">
        <v>153</v>
      </c>
      <c r="V103" s="177">
        <v>160</v>
      </c>
      <c r="W103" s="177">
        <v>65</v>
      </c>
      <c r="X103" s="177">
        <v>77</v>
      </c>
      <c r="AH103" s="180"/>
    </row>
    <row r="104" spans="3:34">
      <c r="AH104" s="180"/>
    </row>
    <row r="105" spans="3:34">
      <c r="AH105" s="180"/>
    </row>
    <row r="106" spans="3:34">
      <c r="P106" s="223" t="s">
        <v>618</v>
      </c>
      <c r="Q106" s="176" t="s">
        <v>41</v>
      </c>
      <c r="R106" s="176" t="s">
        <v>42</v>
      </c>
      <c r="S106" s="176" t="s">
        <v>43</v>
      </c>
      <c r="U106" s="181" t="s">
        <v>619</v>
      </c>
      <c r="V106" s="177" t="s">
        <v>41</v>
      </c>
      <c r="W106" s="177" t="s">
        <v>42</v>
      </c>
      <c r="X106" s="177" t="s">
        <v>43</v>
      </c>
      <c r="AH106" s="180"/>
    </row>
    <row r="107" spans="3:34">
      <c r="P107" s="168" t="s">
        <v>58</v>
      </c>
      <c r="Q107" s="168">
        <v>51</v>
      </c>
      <c r="R107" s="168">
        <v>45</v>
      </c>
      <c r="S107" s="168">
        <v>43</v>
      </c>
      <c r="U107" s="180" t="s">
        <v>58</v>
      </c>
      <c r="V107" s="180">
        <v>87</v>
      </c>
      <c r="W107" s="180">
        <v>45</v>
      </c>
      <c r="X107" s="180">
        <v>40</v>
      </c>
      <c r="AB107" s="177" t="s">
        <v>620</v>
      </c>
      <c r="AH107" s="180"/>
    </row>
    <row r="108" spans="3:34">
      <c r="P108" s="168" t="s">
        <v>85</v>
      </c>
      <c r="Q108" s="168">
        <v>53</v>
      </c>
      <c r="R108" s="168">
        <v>45</v>
      </c>
      <c r="S108" s="168">
        <v>43</v>
      </c>
      <c r="U108" s="180" t="s">
        <v>85</v>
      </c>
      <c r="V108" s="180">
        <v>95</v>
      </c>
      <c r="W108" s="180">
        <v>45</v>
      </c>
      <c r="X108" s="180">
        <v>43</v>
      </c>
      <c r="AB108" s="177" t="s">
        <v>8</v>
      </c>
      <c r="AC108" s="177" t="s">
        <v>41</v>
      </c>
      <c r="AD108" s="177" t="s">
        <v>42</v>
      </c>
      <c r="AE108" s="177" t="s">
        <v>43</v>
      </c>
      <c r="AG108" s="177" t="s">
        <v>90</v>
      </c>
      <c r="AH108" s="180"/>
    </row>
    <row r="109" spans="3:34">
      <c r="P109" s="168" t="s">
        <v>56</v>
      </c>
      <c r="Q109" s="168">
        <v>65</v>
      </c>
      <c r="R109" s="168">
        <v>45</v>
      </c>
      <c r="S109" s="168">
        <v>43</v>
      </c>
      <c r="U109" s="180" t="s">
        <v>56</v>
      </c>
      <c r="V109" s="180">
        <v>110</v>
      </c>
      <c r="W109" s="180">
        <v>45</v>
      </c>
      <c r="X109" s="180">
        <v>43</v>
      </c>
      <c r="AB109" s="177" t="s">
        <v>58</v>
      </c>
      <c r="AC109" s="177" t="s">
        <v>391</v>
      </c>
      <c r="AD109" s="177" t="s">
        <v>391</v>
      </c>
      <c r="AE109" s="177" t="s">
        <v>391</v>
      </c>
      <c r="AG109" s="177" t="s">
        <v>391</v>
      </c>
    </row>
    <row r="110" spans="3:34">
      <c r="P110" s="168" t="s">
        <v>86</v>
      </c>
      <c r="Q110" s="168">
        <v>101</v>
      </c>
      <c r="R110" s="168">
        <v>48</v>
      </c>
      <c r="S110" s="168">
        <v>46</v>
      </c>
      <c r="U110" s="180" t="s">
        <v>86</v>
      </c>
      <c r="V110" s="180">
        <v>171</v>
      </c>
      <c r="W110" s="180">
        <v>48</v>
      </c>
      <c r="X110" s="180">
        <v>46</v>
      </c>
      <c r="AB110" s="177" t="s">
        <v>85</v>
      </c>
      <c r="AC110" s="177">
        <v>35</v>
      </c>
      <c r="AD110" s="177">
        <v>64</v>
      </c>
      <c r="AE110" s="177">
        <v>64</v>
      </c>
      <c r="AF110" s="177">
        <v>3.3</v>
      </c>
      <c r="AG110" s="177">
        <f>AC110*AD110*AE110/1728*AF110</f>
        <v>273.77777777777777</v>
      </c>
    </row>
    <row r="111" spans="3:34">
      <c r="P111" s="168" t="s">
        <v>103</v>
      </c>
      <c r="Q111" s="176">
        <v>100</v>
      </c>
      <c r="R111" s="176">
        <v>25</v>
      </c>
      <c r="S111" s="176">
        <v>54</v>
      </c>
      <c r="U111" s="180" t="s">
        <v>103</v>
      </c>
      <c r="V111" s="177">
        <v>185</v>
      </c>
      <c r="W111" s="177">
        <v>58</v>
      </c>
      <c r="X111" s="177">
        <v>54</v>
      </c>
      <c r="AB111" s="177" t="s">
        <v>56</v>
      </c>
      <c r="AC111" s="177">
        <v>52</v>
      </c>
      <c r="AD111" s="177">
        <v>64</v>
      </c>
      <c r="AE111" s="177">
        <v>64</v>
      </c>
      <c r="AF111" s="177">
        <v>3.3</v>
      </c>
      <c r="AG111" s="177">
        <f>AC111*AD111*AE111/1728*AF111</f>
        <v>406.75555555555553</v>
      </c>
    </row>
    <row r="112" spans="3:34">
      <c r="P112" s="176" t="s">
        <v>61</v>
      </c>
      <c r="Q112" s="176">
        <f>Q107+AC110/2</f>
        <v>68.5</v>
      </c>
      <c r="R112" s="176">
        <v>45</v>
      </c>
      <c r="S112" s="176">
        <v>45</v>
      </c>
      <c r="U112" s="176" t="s">
        <v>61</v>
      </c>
      <c r="V112" s="177">
        <f>V108+AC110/2</f>
        <v>112.5</v>
      </c>
      <c r="W112" s="176">
        <v>45</v>
      </c>
      <c r="X112" s="176">
        <v>45</v>
      </c>
      <c r="AB112" s="177" t="s">
        <v>86</v>
      </c>
      <c r="AC112" s="177">
        <v>68.5</v>
      </c>
      <c r="AD112" s="177">
        <v>88</v>
      </c>
      <c r="AE112" s="177">
        <v>92</v>
      </c>
      <c r="AF112" s="177">
        <v>3.5</v>
      </c>
      <c r="AG112" s="177">
        <f>AC112*AD112*AE112/1728*AF112</f>
        <v>1123.273148148148</v>
      </c>
    </row>
    <row r="113" spans="16:33">
      <c r="P113" s="177" t="s">
        <v>66</v>
      </c>
      <c r="Q113" s="176">
        <f>Q108+AC111/2</f>
        <v>79</v>
      </c>
      <c r="R113" s="177">
        <v>45</v>
      </c>
      <c r="S113" s="177">
        <v>45</v>
      </c>
      <c r="U113" s="177" t="s">
        <v>66</v>
      </c>
      <c r="V113" s="177">
        <f>V109+AC111/2</f>
        <v>136</v>
      </c>
      <c r="W113" s="177">
        <v>45</v>
      </c>
      <c r="X113" s="177">
        <v>45</v>
      </c>
      <c r="AB113" s="177" t="s">
        <v>103</v>
      </c>
      <c r="AC113" s="177">
        <v>72</v>
      </c>
      <c r="AD113" s="177">
        <v>100</v>
      </c>
      <c r="AE113" s="177">
        <v>108</v>
      </c>
      <c r="AF113" s="177">
        <v>3.5</v>
      </c>
      <c r="AG113" s="177">
        <f>AC113*AD113*AE113/1728*AF113</f>
        <v>1575</v>
      </c>
    </row>
    <row r="114" spans="16:33">
      <c r="P114" s="177" t="s">
        <v>60</v>
      </c>
      <c r="Q114" s="176">
        <f>Q109+AC112/2</f>
        <v>99.25</v>
      </c>
      <c r="R114" s="177">
        <v>55</v>
      </c>
      <c r="S114" s="177">
        <v>45</v>
      </c>
      <c r="U114" s="177" t="s">
        <v>60</v>
      </c>
      <c r="V114" s="177">
        <f>V110+AC112/2</f>
        <v>205.25</v>
      </c>
      <c r="W114" s="177">
        <v>55</v>
      </c>
      <c r="X114" s="177">
        <v>45</v>
      </c>
    </row>
    <row r="115" spans="16:33">
      <c r="P115" s="177" t="s">
        <v>153</v>
      </c>
      <c r="Q115" s="177">
        <v>163</v>
      </c>
      <c r="R115" s="177">
        <v>55</v>
      </c>
      <c r="S115" s="177">
        <v>54</v>
      </c>
      <c r="U115" s="177" t="s">
        <v>153</v>
      </c>
      <c r="V115" s="177">
        <v>245</v>
      </c>
      <c r="W115" s="177">
        <v>55</v>
      </c>
      <c r="X115" s="177">
        <v>54</v>
      </c>
    </row>
  </sheetData>
  <sheetProtection password="F863" sheet="1" objects="1" scenarios="1" selectLockedCells="1"/>
  <mergeCells count="4">
    <mergeCell ref="B59:B60"/>
    <mergeCell ref="B57:B58"/>
    <mergeCell ref="E57:G57"/>
    <mergeCell ref="H57:K57"/>
  </mergeCells>
  <phoneticPr fontId="19" type="noConversion"/>
  <pageMargins left="0.75" right="0.75" top="1" bottom="1" header="0.5" footer="0.5"/>
  <pageSetup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AA81"/>
  <sheetViews>
    <sheetView topLeftCell="A46" workbookViewId="0">
      <selection activeCell="AA25" sqref="AA25"/>
    </sheetView>
  </sheetViews>
  <sheetFormatPr defaultRowHeight="12.75"/>
  <sheetData>
    <row r="2" spans="1:1" ht="20.25">
      <c r="A2" s="225" t="s">
        <v>789</v>
      </c>
    </row>
    <row r="25" spans="27:27">
      <c r="AA25" s="226"/>
    </row>
    <row r="49" spans="1:1" ht="20.25">
      <c r="A49" s="225" t="s">
        <v>787</v>
      </c>
    </row>
    <row r="73" spans="1:1">
      <c r="A73" s="224"/>
    </row>
    <row r="81" spans="1:1" ht="20.25">
      <c r="A81" s="225" t="s">
        <v>788</v>
      </c>
    </row>
  </sheetData>
  <sheetProtection password="F863" sheet="1" objects="1" scenarios="1" selectLockedCells="1" selectUnlockedCell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Conversion</vt:lpstr>
      <vt:lpstr>Sheet2</vt:lpstr>
      <vt:lpstr>Weights</vt:lpstr>
      <vt:lpstr>Sheet 3</vt:lpstr>
      <vt:lpstr>Sheet1</vt:lpstr>
      <vt:lpstr>Instructions</vt:lpstr>
      <vt:lpstr>EVAP_Long</vt:lpstr>
      <vt:lpstr>EVAP_Short</vt:lpstr>
      <vt:lpstr>'Sheet 3'!Print_Area</vt:lpstr>
      <vt:lpstr>Weights!Print_Area</vt:lpstr>
      <vt:lpstr>Supply_Long</vt:lpstr>
      <vt:lpstr>Supply_Short</vt:lpstr>
    </vt:vector>
  </TitlesOfParts>
  <Company>ADDISON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Sarma</dc:creator>
  <cp:lastModifiedBy>Sarma, Anil</cp:lastModifiedBy>
  <cp:lastPrinted>2016-11-11T19:54:12Z</cp:lastPrinted>
  <dcterms:created xsi:type="dcterms:W3CDTF">2014-04-04T15:21:55Z</dcterms:created>
  <dcterms:modified xsi:type="dcterms:W3CDTF">2016-11-11T19:57:21Z</dcterms:modified>
</cp:coreProperties>
</file>